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135" firstSheet="1" activeTab="1"/>
  </bookViews>
  <sheets>
    <sheet name="załacznik nr 1 kalkulacj" sheetId="1" state="hidden" r:id="rId1"/>
    <sheet name="załacznik nr 2a 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<sst xmlns="http://schemas.openxmlformats.org/spreadsheetml/2006/main" count="159" uniqueCount="83">
  <si>
    <t>Symbol grupy Taryfowej z taryfy wykonawcy</t>
  </si>
  <si>
    <t>moc cieplna zamówiona co – MW</t>
  </si>
  <si>
    <t>moc cieplną zamówioną ccw– MW</t>
  </si>
  <si>
    <t>moc cieplną zamówioną ct – MW</t>
  </si>
  <si>
    <t>A3/B1/C3</t>
  </si>
  <si>
    <t>A3/B1/C1</t>
  </si>
  <si>
    <t xml:space="preserve"> wartość  podatku VAT     </t>
  </si>
  <si>
    <t xml:space="preserve">Obiekty zarządzane i administrowane przez ZMSP </t>
  </si>
  <si>
    <t xml:space="preserve">Podwale 5  </t>
  </si>
  <si>
    <t xml:space="preserve">Willowa 6       </t>
  </si>
  <si>
    <t>Nowy Świat 23</t>
  </si>
  <si>
    <t>Senatorska 38</t>
  </si>
  <si>
    <t>Czerniakowska 128</t>
  </si>
  <si>
    <t>Augustówka 4</t>
  </si>
  <si>
    <t xml:space="preserve">Gierymskiego 1    </t>
  </si>
  <si>
    <t>Klarysewska 57</t>
  </si>
  <si>
    <t>Korkowa 163</t>
  </si>
  <si>
    <t>Wołoska 26</t>
  </si>
  <si>
    <t>Wołoska 26 A</t>
  </si>
  <si>
    <t>Radzymińska 105</t>
  </si>
  <si>
    <t>Świętokrzyska 14</t>
  </si>
  <si>
    <t>ŚRÓDMIEŚCIE</t>
  </si>
  <si>
    <t xml:space="preserve">MOKOTÓW </t>
  </si>
  <si>
    <t>TARGÓWEK</t>
  </si>
  <si>
    <t>WAWER</t>
  </si>
  <si>
    <t xml:space="preserve">al. Jerozolimskie 32 </t>
  </si>
  <si>
    <t>Nr  Licznkia</t>
  </si>
  <si>
    <t>Lp.</t>
  </si>
  <si>
    <t xml:space="preserve">
Planowane miesięczne zużycie energii  cieplnej (GJ) </t>
  </si>
  <si>
    <t>ilość miesięcy</t>
  </si>
  <si>
    <t>RAZEM</t>
  </si>
  <si>
    <t>4090228/2001</t>
  </si>
  <si>
    <t>69196519/2013</t>
  </si>
  <si>
    <t>6515858/2012</t>
  </si>
  <si>
    <t>3890660/2010</t>
  </si>
  <si>
    <t>4639938/2004</t>
  </si>
  <si>
    <t>69160932/2013</t>
  </si>
  <si>
    <t>69706940/0015</t>
  </si>
  <si>
    <t>4091150/2001</t>
  </si>
  <si>
    <t>4373726/2003</t>
  </si>
  <si>
    <t>5168010/2007</t>
  </si>
  <si>
    <t>2013/13379553</t>
  </si>
  <si>
    <t>78116255/65/16</t>
  </si>
  <si>
    <t>cena netto za ciepło dostarczane - (zł/GJ)</t>
  </si>
  <si>
    <t>VAT</t>
  </si>
  <si>
    <t xml:space="preserve"> cena jednostkowa netto za usługę przesyłu ciepła - (zł/GJ)</t>
  </si>
  <si>
    <t>Koszt netto za dostwę ciepła  miesięcznie        [ 5*6  ]</t>
  </si>
  <si>
    <t xml:space="preserve">
moc cieplną zamówioną ogółem – MW           [ 11+12+13 ]</t>
  </si>
  <si>
    <t>cena jednostkowa netto za moc cieplną zamówioną                                                    (zł/MW, za miesiąc)</t>
  </si>
  <si>
    <t>stawka opłaty stałej netto za usługi przesyłowe                                              (zł/MW, za miesiąc)</t>
  </si>
  <si>
    <t>Koszt opłaty stałej netto za usługi przesyłowe                                              (zł/MW, za miesiąc)                       [ 10*16 ]</t>
  </si>
  <si>
    <t xml:space="preserve">
miesięczna wartość netto                                                   [ 7+9+15+17 ]
</t>
  </si>
  <si>
    <t xml:space="preserve"> 
wartość   umowy  netto                                  [ 18*19 ]</t>
  </si>
  <si>
    <t xml:space="preserve">
wartość  umowy  brutto                                    [ 20+22 ]</t>
  </si>
  <si>
    <t xml:space="preserve">Formularz cenowy - kalkulacja na dostawę ciepła do budynków stanowiących  własność 100% Skarbu Państwa,  zarządzanych i administrowanych  przez Zarząd Mienia Skarbu Państwa   usytuowanych na terenie m.st. Warszawy </t>
  </si>
  <si>
    <t xml:space="preserve">
Planowane  średnie  miesięczne  zużycie  energii   cieplnej                  (GJ) </t>
  </si>
  <si>
    <t>Nowy Świat 58</t>
  </si>
  <si>
    <t>4148945/2003</t>
  </si>
  <si>
    <t>Kozietulskiego 4B</t>
  </si>
  <si>
    <t>ŻOLIBORZ</t>
  </si>
  <si>
    <t xml:space="preserve">
moc cieplną zamówioną ogółem – MW                                                                                               [ 11+12+13 ]</t>
  </si>
  <si>
    <t>Koszt netto za usługę przesyłu ciepła  miesięcznie        [  5*8  ]</t>
  </si>
  <si>
    <t>Koszt netto za usługę przesyłu ciepła  miesięcznie        [ 5*8  ]</t>
  </si>
  <si>
    <t>Koszt  jednostkowy netto za moc cieplną zamówioną                                     (zł/MW, za miesiąc)              [ 10*14 ]</t>
  </si>
  <si>
    <t>załącznik  do szacunkowego wyliczenia wartości dostawy</t>
  </si>
  <si>
    <t xml:space="preserve">Formularz cenowy - kalkulacja na dostawę ciepła do budynków stanowiących  własność 100% Skarbu Państwa,  gospodarowanych  przez Zarząd Mienia Skarbu Państwa                                              usytuowanych na terenie m.st. Warszawy </t>
  </si>
  <si>
    <t>80881828/A3/21</t>
  </si>
  <si>
    <t>69196510/2013</t>
  </si>
  <si>
    <t>4608509/2004</t>
  </si>
  <si>
    <t>4375076/2003</t>
  </si>
  <si>
    <t>78640711/Z8/18</t>
  </si>
  <si>
    <t>69663898/00/15</t>
  </si>
  <si>
    <t>3881832/2010</t>
  </si>
  <si>
    <t>69215116/2013</t>
  </si>
  <si>
    <t>4188985/2001</t>
  </si>
  <si>
    <t>78169545/8D/16</t>
  </si>
  <si>
    <t>69100445/2013</t>
  </si>
  <si>
    <t>załącznik 1a do formularza ofertowego</t>
  </si>
  <si>
    <t>78016451/C7/16</t>
  </si>
  <si>
    <r>
      <t xml:space="preserve">      </t>
    </r>
    <r>
      <rPr>
        <sz val="8"/>
        <rFont val="Arial"/>
        <family val="2"/>
      </rPr>
      <t>5233553/2009</t>
    </r>
  </si>
  <si>
    <r>
      <t xml:space="preserve">     </t>
    </r>
    <r>
      <rPr>
        <sz val="8"/>
        <rFont val="Arial"/>
        <family val="2"/>
      </rPr>
      <t xml:space="preserve">4608442/2004 </t>
    </r>
  </si>
  <si>
    <t xml:space="preserve">     4375047/2003</t>
  </si>
  <si>
    <t xml:space="preserve">   78218315/LD/16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</si>
</sst>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rgb="FF000000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FF0000"/>
      <name val="Arial"/>
      <family val="2"/>
    </font>
    <font>
      <b/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double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</border>
    <border>
      <left style="thin">
        <color rgb="FF000000"/>
      </left>
      <right/>
      <top style="medium">
        <color rgb="FF000000"/>
      </top>
      <bottom style="thin"/>
    </border>
    <border>
      <left style="thin"/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dashed">
        <color rgb="FF000000"/>
      </top>
      <bottom style="dashed">
        <color rgb="FF000000"/>
      </bottom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double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double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double">
        <color rgb="FF000000"/>
      </right>
      <top/>
      <bottom style="double">
        <color rgb="FF000000"/>
      </bottom>
    </border>
    <border>
      <left style="medium">
        <color rgb="FF000000"/>
      </left>
      <right/>
      <top style="thick">
        <color rgb="FF000000"/>
      </top>
      <bottom style="double">
        <color rgb="FF000000"/>
      </bottom>
    </border>
    <border>
      <left/>
      <right style="medium">
        <color rgb="FF000000"/>
      </right>
      <top style="thick">
        <color rgb="FF000000"/>
      </top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/>
      <top style="double">
        <color rgb="FF000000"/>
      </top>
      <bottom/>
    </border>
    <border>
      <left style="medium">
        <color rgb="FF000000"/>
      </left>
      <right style="medium">
        <color rgb="FF000000"/>
      </right>
      <top style="double">
        <color rgb="FF000000"/>
      </top>
      <bottom/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medium">
        <color rgb="FF000000"/>
      </right>
      <top style="double">
        <color rgb="FF000000"/>
      </top>
      <bottom/>
    </border>
    <border>
      <left style="double">
        <color rgb="FF000000"/>
      </left>
      <right style="thin">
        <color rgb="FF000000"/>
      </right>
      <top style="double">
        <color rgb="FF000000"/>
      </top>
      <bottom/>
    </border>
    <border>
      <left/>
      <right/>
      <top style="double">
        <color rgb="FF000000"/>
      </top>
      <bottom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/>
      <right style="double">
        <color rgb="FF000000"/>
      </right>
      <top style="double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/>
    </border>
    <border>
      <left style="double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double">
        <color rgb="FF000000"/>
      </bottom>
    </border>
    <border>
      <left/>
      <right style="medium">
        <color rgb="FF000000"/>
      </right>
      <top/>
      <bottom style="double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1" fillId="0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 horizontal="center"/>
    </xf>
    <xf numFmtId="4" fontId="48" fillId="33" borderId="22" xfId="0" applyNumberFormat="1" applyFont="1" applyFill="1" applyBorder="1" applyAlignment="1">
      <alignment/>
    </xf>
    <xf numFmtId="164" fontId="48" fillId="33" borderId="22" xfId="0" applyNumberFormat="1" applyFont="1" applyFill="1" applyBorder="1" applyAlignment="1">
      <alignment/>
    </xf>
    <xf numFmtId="164" fontId="49" fillId="33" borderId="22" xfId="0" applyNumberFormat="1" applyFont="1" applyFill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4" fontId="48" fillId="0" borderId="28" xfId="0" applyNumberFormat="1" applyFont="1" applyBorder="1" applyAlignment="1">
      <alignment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0" fontId="2" fillId="0" borderId="33" xfId="0" applyFont="1" applyFill="1" applyBorder="1" applyAlignment="1">
      <alignment/>
    </xf>
    <xf numFmtId="4" fontId="3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4" fontId="3" fillId="0" borderId="4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" fontId="4" fillId="0" borderId="42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164" fontId="4" fillId="0" borderId="42" xfId="0" applyNumberFormat="1" applyFont="1" applyBorder="1" applyAlignment="1">
      <alignment/>
    </xf>
    <xf numFmtId="164" fontId="4" fillId="0" borderId="44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1" fontId="4" fillId="0" borderId="46" xfId="0" applyNumberFormat="1" applyFont="1" applyBorder="1" applyAlignment="1">
      <alignment horizontal="center" vertical="center"/>
    </xf>
    <xf numFmtId="9" fontId="4" fillId="0" borderId="45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/>
    </xf>
    <xf numFmtId="0" fontId="4" fillId="0" borderId="48" xfId="0" applyFont="1" applyBorder="1" applyAlignment="1">
      <alignment horizontal="center" vertical="center"/>
    </xf>
    <xf numFmtId="4" fontId="4" fillId="0" borderId="49" xfId="0" applyNumberFormat="1" applyFont="1" applyBorder="1" applyAlignment="1">
      <alignment/>
    </xf>
    <xf numFmtId="4" fontId="4" fillId="0" borderId="50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164" fontId="4" fillId="0" borderId="48" xfId="0" applyNumberFormat="1" applyFont="1" applyBorder="1" applyAlignment="1">
      <alignment/>
    </xf>
    <xf numFmtId="4" fontId="4" fillId="0" borderId="51" xfId="0" applyNumberFormat="1" applyFont="1" applyBorder="1" applyAlignment="1">
      <alignment/>
    </xf>
    <xf numFmtId="1" fontId="4" fillId="0" borderId="52" xfId="0" applyNumberFormat="1" applyFont="1" applyBorder="1" applyAlignment="1">
      <alignment horizontal="center" vertical="center"/>
    </xf>
    <xf numFmtId="9" fontId="4" fillId="0" borderId="51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/>
    </xf>
    <xf numFmtId="0" fontId="4" fillId="0" borderId="54" xfId="0" applyFont="1" applyBorder="1" applyAlignment="1">
      <alignment horizontal="center" vertical="center"/>
    </xf>
    <xf numFmtId="4" fontId="4" fillId="0" borderId="55" xfId="0" applyNumberFormat="1" applyFont="1" applyBorder="1" applyAlignment="1">
      <alignment/>
    </xf>
    <xf numFmtId="164" fontId="4" fillId="0" borderId="56" xfId="0" applyNumberFormat="1" applyFont="1" applyBorder="1" applyAlignment="1">
      <alignment/>
    </xf>
    <xf numFmtId="164" fontId="4" fillId="0" borderId="54" xfId="0" applyNumberFormat="1" applyFont="1" applyBorder="1" applyAlignment="1">
      <alignment/>
    </xf>
    <xf numFmtId="4" fontId="4" fillId="0" borderId="57" xfId="0" applyNumberFormat="1" applyFont="1" applyBorder="1" applyAlignment="1">
      <alignment/>
    </xf>
    <xf numFmtId="9" fontId="4" fillId="0" borderId="57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/>
    </xf>
    <xf numFmtId="164" fontId="4" fillId="0" borderId="49" xfId="0" applyNumberFormat="1" applyFont="1" applyBorder="1" applyAlignment="1">
      <alignment/>
    </xf>
    <xf numFmtId="1" fontId="4" fillId="0" borderId="58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/>
    </xf>
    <xf numFmtId="0" fontId="4" fillId="0" borderId="59" xfId="0" applyFont="1" applyBorder="1" applyAlignment="1">
      <alignment horizontal="center" vertical="center"/>
    </xf>
    <xf numFmtId="4" fontId="4" fillId="0" borderId="6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164" fontId="4" fillId="0" borderId="60" xfId="0" applyNumberFormat="1" applyFont="1" applyBorder="1" applyAlignment="1">
      <alignment/>
    </xf>
    <xf numFmtId="164" fontId="4" fillId="0" borderId="61" xfId="0" applyNumberFormat="1" applyFont="1" applyBorder="1" applyAlignment="1">
      <alignment/>
    </xf>
    <xf numFmtId="164" fontId="4" fillId="0" borderId="59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4" fontId="4" fillId="0" borderId="62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0" fillId="0" borderId="63" xfId="0" applyFont="1" applyBorder="1" applyAlignment="1">
      <alignment horizontal="center" vertical="center"/>
    </xf>
    <xf numFmtId="4" fontId="4" fillId="0" borderId="64" xfId="0" applyNumberFormat="1" applyFont="1" applyBorder="1" applyAlignment="1">
      <alignment/>
    </xf>
    <xf numFmtId="4" fontId="4" fillId="0" borderId="65" xfId="0" applyNumberFormat="1" applyFont="1" applyBorder="1" applyAlignment="1">
      <alignment/>
    </xf>
    <xf numFmtId="4" fontId="4" fillId="0" borderId="66" xfId="0" applyNumberFormat="1" applyFont="1" applyBorder="1" applyAlignment="1">
      <alignment/>
    </xf>
    <xf numFmtId="4" fontId="4" fillId="0" borderId="63" xfId="0" applyNumberFormat="1" applyFont="1" applyBorder="1" applyAlignment="1">
      <alignment/>
    </xf>
    <xf numFmtId="4" fontId="48" fillId="0" borderId="67" xfId="0" applyNumberFormat="1" applyFont="1" applyBorder="1" applyAlignment="1">
      <alignment/>
    </xf>
    <xf numFmtId="4" fontId="48" fillId="33" borderId="68" xfId="0" applyNumberFormat="1" applyFont="1" applyFill="1" applyBorder="1" applyAlignment="1">
      <alignment/>
    </xf>
    <xf numFmtId="4" fontId="48" fillId="33" borderId="69" xfId="0" applyNumberFormat="1" applyFont="1" applyFill="1" applyBorder="1" applyAlignment="1">
      <alignment/>
    </xf>
    <xf numFmtId="0" fontId="51" fillId="0" borderId="70" xfId="0" applyFont="1" applyBorder="1" applyAlignment="1">
      <alignment horizontal="center" vertical="center" wrapText="1"/>
    </xf>
    <xf numFmtId="0" fontId="52" fillId="0" borderId="71" xfId="0" applyFont="1" applyBorder="1" applyAlignment="1">
      <alignment horizontal="center" vertical="center" wrapText="1"/>
    </xf>
    <xf numFmtId="0" fontId="52" fillId="0" borderId="72" xfId="0" applyFont="1" applyBorder="1" applyAlignment="1">
      <alignment horizontal="center" vertical="center" wrapText="1"/>
    </xf>
    <xf numFmtId="0" fontId="52" fillId="0" borderId="73" xfId="0" applyFont="1" applyBorder="1" applyAlignment="1">
      <alignment horizontal="center" vertical="center" wrapText="1"/>
    </xf>
    <xf numFmtId="0" fontId="52" fillId="0" borderId="70" xfId="0" applyFont="1" applyBorder="1" applyAlignment="1">
      <alignment horizontal="center" vertical="center" textRotation="90" wrapText="1"/>
    </xf>
    <xf numFmtId="0" fontId="52" fillId="0" borderId="74" xfId="0" applyFont="1" applyBorder="1" applyAlignment="1">
      <alignment horizontal="center" vertical="center" textRotation="90" wrapText="1"/>
    </xf>
    <xf numFmtId="0" fontId="52" fillId="0" borderId="75" xfId="0" applyFont="1" applyBorder="1" applyAlignment="1">
      <alignment horizontal="center" vertical="center" textRotation="90" wrapText="1"/>
    </xf>
    <xf numFmtId="0" fontId="52" fillId="0" borderId="76" xfId="0" applyFont="1" applyBorder="1" applyAlignment="1">
      <alignment horizontal="center" vertical="center" wrapText="1"/>
    </xf>
    <xf numFmtId="0" fontId="52" fillId="0" borderId="77" xfId="0" applyFont="1" applyBorder="1" applyAlignment="1">
      <alignment horizontal="center" vertical="center" textRotation="90" wrapText="1"/>
    </xf>
    <xf numFmtId="0" fontId="52" fillId="0" borderId="78" xfId="0" applyFont="1" applyBorder="1" applyAlignment="1">
      <alignment horizontal="center" vertical="center" textRotation="90" wrapText="1"/>
    </xf>
    <xf numFmtId="0" fontId="52" fillId="0" borderId="71" xfId="0" applyFont="1" applyBorder="1" applyAlignment="1">
      <alignment horizontal="center" vertical="center" textRotation="90" wrapText="1"/>
    </xf>
    <xf numFmtId="0" fontId="52" fillId="0" borderId="72" xfId="0" applyFont="1" applyBorder="1" applyAlignment="1">
      <alignment horizontal="center" vertical="center" textRotation="90" wrapText="1"/>
    </xf>
    <xf numFmtId="0" fontId="52" fillId="0" borderId="79" xfId="0" applyFont="1" applyBorder="1" applyAlignment="1">
      <alignment horizontal="center" vertical="center" textRotation="90" wrapText="1"/>
    </xf>
    <xf numFmtId="0" fontId="52" fillId="0" borderId="80" xfId="0" applyFont="1" applyBorder="1" applyAlignment="1">
      <alignment horizontal="center" vertical="center" wrapText="1"/>
    </xf>
    <xf numFmtId="4" fontId="4" fillId="0" borderId="81" xfId="0" applyNumberFormat="1" applyFont="1" applyBorder="1" applyAlignment="1">
      <alignment/>
    </xf>
    <xf numFmtId="0" fontId="4" fillId="0" borderId="64" xfId="0" applyFont="1" applyBorder="1" applyAlignment="1">
      <alignment horizontal="right"/>
    </xf>
    <xf numFmtId="0" fontId="4" fillId="0" borderId="81" xfId="0" applyFont="1" applyBorder="1" applyAlignment="1">
      <alignment horizontal="right"/>
    </xf>
    <xf numFmtId="0" fontId="4" fillId="0" borderId="82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4" fontId="4" fillId="0" borderId="43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4" fontId="4" fillId="0" borderId="55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4" fillId="0" borderId="51" xfId="0" applyNumberFormat="1" applyFont="1" applyBorder="1" applyAlignment="1">
      <alignment horizontal="center"/>
    </xf>
    <xf numFmtId="4" fontId="4" fillId="0" borderId="57" xfId="0" applyNumberFormat="1" applyFont="1" applyBorder="1" applyAlignment="1">
      <alignment horizontal="center"/>
    </xf>
    <xf numFmtId="4" fontId="53" fillId="0" borderId="65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4" fontId="4" fillId="0" borderId="31" xfId="0" applyNumberFormat="1" applyFont="1" applyFill="1" applyBorder="1" applyAlignment="1">
      <alignment/>
    </xf>
    <xf numFmtId="164" fontId="4" fillId="0" borderId="56" xfId="0" applyNumberFormat="1" applyFont="1" applyFill="1" applyBorder="1" applyAlignment="1">
      <alignment/>
    </xf>
    <xf numFmtId="0" fontId="0" fillId="0" borderId="83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84" xfId="0" applyNumberFormat="1" applyFont="1" applyBorder="1" applyAlignment="1">
      <alignment/>
    </xf>
    <xf numFmtId="9" fontId="4" fillId="0" borderId="85" xfId="0" applyNumberFormat="1" applyFont="1" applyBorder="1" applyAlignment="1">
      <alignment horizontal="center"/>
    </xf>
    <xf numFmtId="4" fontId="4" fillId="0" borderId="86" xfId="0" applyNumberFormat="1" applyFont="1" applyBorder="1" applyAlignment="1">
      <alignment horizontal="center"/>
    </xf>
    <xf numFmtId="2" fontId="47" fillId="0" borderId="11" xfId="0" applyNumberFormat="1" applyFont="1" applyBorder="1" applyAlignment="1">
      <alignment horizontal="center"/>
    </xf>
    <xf numFmtId="4" fontId="4" fillId="0" borderId="87" xfId="0" applyNumberFormat="1" applyFont="1" applyBorder="1" applyAlignment="1">
      <alignment/>
    </xf>
    <xf numFmtId="0" fontId="4" fillId="0" borderId="63" xfId="0" applyFont="1" applyBorder="1" applyAlignment="1">
      <alignment horizontal="right"/>
    </xf>
    <xf numFmtId="4" fontId="48" fillId="33" borderId="88" xfId="0" applyNumberFormat="1" applyFont="1" applyFill="1" applyBorder="1" applyAlignment="1">
      <alignment/>
    </xf>
    <xf numFmtId="4" fontId="48" fillId="33" borderId="89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4" fontId="3" fillId="0" borderId="4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4" fontId="4" fillId="0" borderId="24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0" fontId="41" fillId="0" borderId="87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48" fillId="0" borderId="28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center"/>
    </xf>
    <xf numFmtId="4" fontId="4" fillId="0" borderId="29" xfId="0" applyNumberFormat="1" applyFont="1" applyBorder="1" applyAlignment="1">
      <alignment horizontal="right"/>
    </xf>
    <xf numFmtId="0" fontId="0" fillId="0" borderId="0" xfId="0" applyFill="1" applyAlignment="1">
      <alignment/>
    </xf>
    <xf numFmtId="165" fontId="4" fillId="0" borderId="44" xfId="0" applyNumberFormat="1" applyFont="1" applyBorder="1" applyAlignment="1">
      <alignment/>
    </xf>
    <xf numFmtId="165" fontId="4" fillId="0" borderId="11" xfId="0" applyNumberFormat="1" applyFont="1" applyFill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84" xfId="0" applyNumberFormat="1" applyFont="1" applyBorder="1" applyAlignment="1">
      <alignment horizontal="right"/>
    </xf>
    <xf numFmtId="165" fontId="48" fillId="0" borderId="28" xfId="0" applyNumberFormat="1" applyFont="1" applyBorder="1" applyAlignment="1">
      <alignment horizontal="right"/>
    </xf>
    <xf numFmtId="165" fontId="4" fillId="0" borderId="45" xfId="0" applyNumberFormat="1" applyFont="1" applyBorder="1" applyAlignment="1">
      <alignment horizontal="right"/>
    </xf>
    <xf numFmtId="165" fontId="4" fillId="0" borderId="51" xfId="0" applyNumberFormat="1" applyFont="1" applyBorder="1" applyAlignment="1">
      <alignment horizontal="right"/>
    </xf>
    <xf numFmtId="165" fontId="4" fillId="0" borderId="90" xfId="0" applyNumberFormat="1" applyFont="1" applyBorder="1" applyAlignment="1">
      <alignment horizontal="right"/>
    </xf>
    <xf numFmtId="165" fontId="4" fillId="0" borderId="57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165" fontId="4" fillId="0" borderId="91" xfId="0" applyNumberFormat="1" applyFont="1" applyBorder="1" applyAlignment="1">
      <alignment horizontal="right"/>
    </xf>
    <xf numFmtId="165" fontId="4" fillId="0" borderId="92" xfId="0" applyNumberFormat="1" applyFont="1" applyBorder="1" applyAlignment="1">
      <alignment/>
    </xf>
    <xf numFmtId="165" fontId="4" fillId="0" borderId="93" xfId="0" applyNumberFormat="1" applyFont="1" applyBorder="1" applyAlignment="1">
      <alignment horizontal="right"/>
    </xf>
    <xf numFmtId="164" fontId="4" fillId="0" borderId="94" xfId="0" applyNumberFormat="1" applyFont="1" applyBorder="1" applyAlignment="1">
      <alignment/>
    </xf>
    <xf numFmtId="164" fontId="4" fillId="0" borderId="95" xfId="0" applyNumberFormat="1" applyFont="1" applyBorder="1" applyAlignment="1">
      <alignment/>
    </xf>
    <xf numFmtId="164" fontId="4" fillId="0" borderId="96" xfId="0" applyNumberFormat="1" applyFont="1" applyBorder="1" applyAlignment="1">
      <alignment/>
    </xf>
    <xf numFmtId="164" fontId="4" fillId="0" borderId="91" xfId="0" applyNumberFormat="1" applyFont="1" applyBorder="1" applyAlignment="1">
      <alignment/>
    </xf>
    <xf numFmtId="164" fontId="4" fillId="0" borderId="97" xfId="0" applyNumberFormat="1" applyFont="1" applyBorder="1" applyAlignment="1">
      <alignment/>
    </xf>
    <xf numFmtId="164" fontId="4" fillId="0" borderId="98" xfId="0" applyNumberFormat="1" applyFont="1" applyBorder="1" applyAlignment="1">
      <alignment/>
    </xf>
    <xf numFmtId="164" fontId="53" fillId="0" borderId="31" xfId="0" applyNumberFormat="1" applyFont="1" applyBorder="1" applyAlignment="1">
      <alignment/>
    </xf>
    <xf numFmtId="164" fontId="53" fillId="0" borderId="49" xfId="0" applyNumberFormat="1" applyFont="1" applyBorder="1" applyAlignment="1">
      <alignment/>
    </xf>
    <xf numFmtId="2" fontId="4" fillId="0" borderId="64" xfId="0" applyNumberFormat="1" applyFont="1" applyBorder="1" applyAlignment="1">
      <alignment horizontal="right"/>
    </xf>
    <xf numFmtId="2" fontId="4" fillId="0" borderId="81" xfId="0" applyNumberFormat="1" applyFont="1" applyBorder="1" applyAlignment="1">
      <alignment horizontal="right"/>
    </xf>
    <xf numFmtId="2" fontId="4" fillId="0" borderId="82" xfId="0" applyNumberFormat="1" applyFont="1" applyBorder="1" applyAlignment="1">
      <alignment horizontal="right"/>
    </xf>
    <xf numFmtId="1" fontId="4" fillId="0" borderId="99" xfId="0" applyNumberFormat="1" applyFont="1" applyBorder="1" applyAlignment="1">
      <alignment horizontal="center" vertical="center"/>
    </xf>
    <xf numFmtId="1" fontId="4" fillId="0" borderId="100" xfId="0" applyNumberFormat="1" applyFont="1" applyBorder="1" applyAlignment="1">
      <alignment horizontal="center" vertical="center"/>
    </xf>
    <xf numFmtId="0" fontId="53" fillId="0" borderId="48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54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obiecka\Downloads\Users\zmalkowski\Downloads\VEOLIA%202020%20%20obowiazuj&#261;ce%20wylic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acznik nr 1 kalkulacj"/>
      <sheetName val="załacznik nr 1 wzór "/>
      <sheetName val="Załącznik nr 2"/>
      <sheetName val="1 strona"/>
    </sheetNames>
    <sheetDataSet>
      <sheetData sheetId="0">
        <row r="7">
          <cell r="E7">
            <v>109.4410916666667</v>
          </cell>
        </row>
        <row r="8">
          <cell r="E8">
            <v>72.56753</v>
          </cell>
        </row>
        <row r="9">
          <cell r="E9">
            <v>127.72666666666704</v>
          </cell>
        </row>
        <row r="10">
          <cell r="E10">
            <v>173.95620666666704</v>
          </cell>
        </row>
        <row r="11">
          <cell r="E11">
            <v>382.870075</v>
          </cell>
        </row>
        <row r="12">
          <cell r="E12">
            <v>189.2392853697457</v>
          </cell>
        </row>
        <row r="15">
          <cell r="E15">
            <v>59.9310425</v>
          </cell>
        </row>
        <row r="16">
          <cell r="E16">
            <v>124.34378833333294</v>
          </cell>
        </row>
        <row r="17">
          <cell r="E17">
            <v>119.11169083333293</v>
          </cell>
        </row>
        <row r="18">
          <cell r="E18">
            <v>41.51774083333329</v>
          </cell>
        </row>
        <row r="19">
          <cell r="E19">
            <v>16.3415</v>
          </cell>
        </row>
        <row r="20">
          <cell r="E20">
            <v>4.887423333333329</v>
          </cell>
        </row>
        <row r="22">
          <cell r="E22">
            <v>113.51649999999998</v>
          </cell>
        </row>
        <row r="24">
          <cell r="E24">
            <v>83.71999999999998</v>
          </cell>
        </row>
        <row r="26">
          <cell r="E26">
            <v>83.71999999999998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zoomScalePageLayoutView="0" workbookViewId="0" topLeftCell="E1">
      <selection activeCell="L4" sqref="L4"/>
    </sheetView>
  </sheetViews>
  <sheetFormatPr defaultColWidth="9.140625" defaultRowHeight="15"/>
  <cols>
    <col min="1" max="1" width="5.7109375" style="0" customWidth="1"/>
    <col min="2" max="2" width="30.00390625" style="0" customWidth="1"/>
    <col min="3" max="3" width="12.8515625" style="3" customWidth="1"/>
    <col min="4" max="4" width="13.8515625" style="3" customWidth="1"/>
    <col min="5" max="5" width="13.00390625" style="3" customWidth="1"/>
    <col min="6" max="6" width="6.7109375" style="0" customWidth="1"/>
    <col min="7" max="7" width="8.7109375" style="0" customWidth="1"/>
    <col min="8" max="8" width="6.7109375" style="0" customWidth="1"/>
    <col min="9" max="9" width="8.7109375" style="0" customWidth="1"/>
    <col min="10" max="10" width="10.421875" style="0" customWidth="1"/>
    <col min="11" max="11" width="11.8515625" style="0" customWidth="1"/>
    <col min="12" max="12" width="12.140625" style="0" customWidth="1"/>
    <col min="13" max="13" width="11.7109375" style="0" customWidth="1"/>
    <col min="14" max="17" width="8.7109375" style="0" customWidth="1"/>
    <col min="18" max="18" width="14.140625" style="0" customWidth="1"/>
    <col min="19" max="19" width="5.57421875" style="0" customWidth="1"/>
    <col min="20" max="20" width="12.7109375" style="0" customWidth="1"/>
    <col min="21" max="21" width="7.28125" style="0" customWidth="1"/>
    <col min="22" max="22" width="11.140625" style="0" customWidth="1"/>
    <col min="23" max="23" width="19.57421875" style="0" customWidth="1"/>
  </cols>
  <sheetData>
    <row r="1" spans="20:21" ht="15.75">
      <c r="T1" s="4" t="s">
        <v>64</v>
      </c>
      <c r="U1" s="4"/>
    </row>
    <row r="2" spans="2:23" ht="36" customHeight="1">
      <c r="B2" s="200" t="s">
        <v>54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ht="15.75" thickBot="1"/>
    <row r="4" spans="1:23" s="1" customFormat="1" ht="267.75" customHeight="1" thickBot="1" thickTop="1">
      <c r="A4" s="114" t="s">
        <v>27</v>
      </c>
      <c r="B4" s="107" t="s">
        <v>7</v>
      </c>
      <c r="C4" s="108" t="s">
        <v>0</v>
      </c>
      <c r="D4" s="109" t="s">
        <v>26</v>
      </c>
      <c r="E4" s="110" t="s">
        <v>55</v>
      </c>
      <c r="F4" s="111" t="s">
        <v>43</v>
      </c>
      <c r="G4" s="115" t="s">
        <v>46</v>
      </c>
      <c r="H4" s="112" t="s">
        <v>45</v>
      </c>
      <c r="I4" s="116" t="s">
        <v>62</v>
      </c>
      <c r="J4" s="111" t="s">
        <v>60</v>
      </c>
      <c r="K4" s="117" t="s">
        <v>1</v>
      </c>
      <c r="L4" s="117" t="s">
        <v>2</v>
      </c>
      <c r="M4" s="118" t="s">
        <v>3</v>
      </c>
      <c r="N4" s="119" t="s">
        <v>48</v>
      </c>
      <c r="O4" s="116" t="s">
        <v>63</v>
      </c>
      <c r="P4" s="112" t="s">
        <v>49</v>
      </c>
      <c r="Q4" s="113" t="s">
        <v>50</v>
      </c>
      <c r="R4" s="110" t="s">
        <v>51</v>
      </c>
      <c r="S4" s="115" t="s">
        <v>29</v>
      </c>
      <c r="T4" s="110" t="s">
        <v>52</v>
      </c>
      <c r="U4" s="110" t="s">
        <v>44</v>
      </c>
      <c r="V4" s="110" t="s">
        <v>6</v>
      </c>
      <c r="W4" s="120" t="s">
        <v>53</v>
      </c>
    </row>
    <row r="5" spans="1:23" s="2" customFormat="1" ht="15.75" thickBot="1">
      <c r="A5" s="30">
        <v>1</v>
      </c>
      <c r="B5" s="31">
        <v>2</v>
      </c>
      <c r="C5" s="32">
        <v>3</v>
      </c>
      <c r="D5" s="33">
        <v>4</v>
      </c>
      <c r="E5" s="34">
        <v>5</v>
      </c>
      <c r="F5" s="31">
        <v>6</v>
      </c>
      <c r="G5" s="37">
        <v>7</v>
      </c>
      <c r="H5" s="99">
        <v>8</v>
      </c>
      <c r="I5" s="38">
        <v>9</v>
      </c>
      <c r="J5" s="31">
        <v>10</v>
      </c>
      <c r="K5" s="32">
        <v>11</v>
      </c>
      <c r="L5" s="32">
        <v>12</v>
      </c>
      <c r="M5" s="33">
        <v>13</v>
      </c>
      <c r="N5" s="99">
        <v>14</v>
      </c>
      <c r="O5" s="38">
        <v>15</v>
      </c>
      <c r="P5" s="99">
        <v>16</v>
      </c>
      <c r="Q5" s="38">
        <v>17</v>
      </c>
      <c r="R5" s="34">
        <v>18</v>
      </c>
      <c r="S5" s="37">
        <v>19</v>
      </c>
      <c r="T5" s="34">
        <v>20</v>
      </c>
      <c r="U5" s="34">
        <v>21</v>
      </c>
      <c r="V5" s="34">
        <v>22</v>
      </c>
      <c r="W5" s="36">
        <v>23</v>
      </c>
    </row>
    <row r="6" spans="1:23" s="2" customFormat="1" ht="15.75" thickBot="1">
      <c r="A6" s="7"/>
      <c r="B6" s="8"/>
      <c r="C6" s="8" t="s">
        <v>21</v>
      </c>
      <c r="D6" s="51"/>
      <c r="E6" s="147"/>
      <c r="F6" s="8"/>
      <c r="G6" s="8"/>
      <c r="H6" s="8"/>
      <c r="I6" s="8"/>
      <c r="J6" s="8"/>
      <c r="K6" s="8"/>
      <c r="L6" s="8"/>
      <c r="M6" s="8"/>
      <c r="N6" s="8"/>
      <c r="O6" s="8"/>
      <c r="P6" s="8" t="s">
        <v>21</v>
      </c>
      <c r="Q6" s="8"/>
      <c r="R6" s="8"/>
      <c r="S6" s="8"/>
      <c r="T6" s="8"/>
      <c r="U6" s="8"/>
      <c r="V6" s="8"/>
      <c r="W6" s="9"/>
    </row>
    <row r="7" spans="1:23" ht="15">
      <c r="A7" s="12">
        <v>1</v>
      </c>
      <c r="B7" s="22" t="s">
        <v>25</v>
      </c>
      <c r="C7" s="40" t="s">
        <v>4</v>
      </c>
      <c r="D7" s="52" t="s">
        <v>31</v>
      </c>
      <c r="E7" s="174">
        <f>95.1661666666667*1.15</f>
        <v>109.4410916666667</v>
      </c>
      <c r="F7" s="53">
        <f aca="true" t="shared" si="0" ref="F7:F13">28.94*1.025</f>
        <v>29.6635</v>
      </c>
      <c r="G7" s="97">
        <f>E7*F7</f>
        <v>3246.4058226541674</v>
      </c>
      <c r="H7" s="100">
        <f>9.29*1.025</f>
        <v>9.522249999999998</v>
      </c>
      <c r="I7" s="54">
        <f>E7*H7</f>
        <v>1042.1254351229168</v>
      </c>
      <c r="J7" s="55">
        <f>K7+L7+M7</f>
        <v>0.1863</v>
      </c>
      <c r="K7" s="56">
        <v>0.1863</v>
      </c>
      <c r="L7" s="56">
        <v>0</v>
      </c>
      <c r="M7" s="57">
        <v>0</v>
      </c>
      <c r="N7" s="100">
        <f aca="true" t="shared" si="1" ref="N7:N13">3770.48*1.025</f>
        <v>3864.7419999999997</v>
      </c>
      <c r="O7" s="54">
        <f>J7*N7</f>
        <v>720.0014345999999</v>
      </c>
      <c r="P7" s="192">
        <f>1752.65*1.025</f>
        <v>1796.46625</v>
      </c>
      <c r="Q7" s="126">
        <f>J7*P7</f>
        <v>334.681662375</v>
      </c>
      <c r="R7" s="58">
        <f>G7+I7+O7+Q7</f>
        <v>5343.214354752084</v>
      </c>
      <c r="S7" s="59">
        <v>12</v>
      </c>
      <c r="T7" s="58">
        <f>R7*S7</f>
        <v>64118.57225702501</v>
      </c>
      <c r="U7" s="60">
        <v>0.23</v>
      </c>
      <c r="V7" s="131">
        <f>T7*U7</f>
        <v>14747.271619115752</v>
      </c>
      <c r="W7" s="61">
        <f>T7+V7</f>
        <v>78865.84387614076</v>
      </c>
    </row>
    <row r="8" spans="1:23" ht="15">
      <c r="A8" s="13">
        <v>2</v>
      </c>
      <c r="B8" s="16" t="s">
        <v>12</v>
      </c>
      <c r="C8" s="41" t="s">
        <v>4</v>
      </c>
      <c r="D8" s="62" t="s">
        <v>40</v>
      </c>
      <c r="E8" s="175">
        <f>63.1022*1.15</f>
        <v>72.56753</v>
      </c>
      <c r="F8" s="53">
        <f t="shared" si="0"/>
        <v>29.6635</v>
      </c>
      <c r="G8" s="97">
        <f aca="true" t="shared" si="2" ref="G8:G13">E8*F8</f>
        <v>2152.606926155</v>
      </c>
      <c r="H8" s="121">
        <f>9.29*1.025</f>
        <v>9.522249999999998</v>
      </c>
      <c r="I8" s="64">
        <f aca="true" t="shared" si="3" ref="I8:I13">E8*H8</f>
        <v>691.0061625424999</v>
      </c>
      <c r="J8" s="55">
        <f aca="true" t="shared" si="4" ref="J8:J13">K8+L8+M8</f>
        <v>0.07519999999999999</v>
      </c>
      <c r="K8" s="65">
        <v>0.0677</v>
      </c>
      <c r="L8" s="65">
        <v>0.0075</v>
      </c>
      <c r="M8" s="66">
        <v>0</v>
      </c>
      <c r="N8" s="101">
        <f t="shared" si="1"/>
        <v>3864.7419999999997</v>
      </c>
      <c r="O8" s="64">
        <f aca="true" t="shared" si="5" ref="O8:O13">J8*N8</f>
        <v>290.62859839999993</v>
      </c>
      <c r="P8" s="193">
        <f>1752.65*1.025</f>
        <v>1796.46625</v>
      </c>
      <c r="Q8" s="127">
        <f aca="true" t="shared" si="6" ref="Q8:Q13">J8*P8</f>
        <v>135.094262</v>
      </c>
      <c r="R8" s="67">
        <f aca="true" t="shared" si="7" ref="R8:R13">G8+I8+O8+Q8</f>
        <v>3269.3359490975</v>
      </c>
      <c r="S8" s="68">
        <v>12</v>
      </c>
      <c r="T8" s="67">
        <f aca="true" t="shared" si="8" ref="T8:T13">R8*S8</f>
        <v>39232.03138917</v>
      </c>
      <c r="U8" s="69">
        <v>0.23</v>
      </c>
      <c r="V8" s="132">
        <f aca="true" t="shared" si="9" ref="V8:V13">T8*U8</f>
        <v>9023.3672195091</v>
      </c>
      <c r="W8" s="61">
        <f aca="true" t="shared" si="10" ref="W8:W13">T8+V8</f>
        <v>48255.3986086791</v>
      </c>
    </row>
    <row r="9" spans="1:23" ht="15">
      <c r="A9" s="13">
        <v>3</v>
      </c>
      <c r="B9" s="16" t="s">
        <v>10</v>
      </c>
      <c r="C9" s="42" t="s">
        <v>5</v>
      </c>
      <c r="D9" s="62" t="s">
        <v>32</v>
      </c>
      <c r="E9" s="175">
        <f>111.066666666667*1.15</f>
        <v>127.72666666666704</v>
      </c>
      <c r="F9" s="53">
        <f t="shared" si="0"/>
        <v>29.6635</v>
      </c>
      <c r="G9" s="97">
        <f t="shared" si="2"/>
        <v>3788.8199766666776</v>
      </c>
      <c r="H9" s="101">
        <f>11.5*1.025</f>
        <v>11.7875</v>
      </c>
      <c r="I9" s="64">
        <f t="shared" si="3"/>
        <v>1505.5780833333376</v>
      </c>
      <c r="J9" s="55">
        <f t="shared" si="4"/>
        <v>0.035</v>
      </c>
      <c r="K9" s="65">
        <v>0.035</v>
      </c>
      <c r="L9" s="65">
        <v>0</v>
      </c>
      <c r="M9" s="66">
        <v>0</v>
      </c>
      <c r="N9" s="101">
        <f t="shared" si="1"/>
        <v>3864.7419999999997</v>
      </c>
      <c r="O9" s="64">
        <f t="shared" si="5"/>
        <v>135.26597</v>
      </c>
      <c r="P9" s="194">
        <f>3144.48*1.025</f>
        <v>3223.0919999999996</v>
      </c>
      <c r="Q9" s="127">
        <f t="shared" si="6"/>
        <v>112.80821999999999</v>
      </c>
      <c r="R9" s="67">
        <f t="shared" si="7"/>
        <v>5542.472250000015</v>
      </c>
      <c r="S9" s="68">
        <v>12</v>
      </c>
      <c r="T9" s="67">
        <f t="shared" si="8"/>
        <v>66509.66700000019</v>
      </c>
      <c r="U9" s="69">
        <v>0.23</v>
      </c>
      <c r="V9" s="132">
        <f t="shared" si="9"/>
        <v>15297.223410000044</v>
      </c>
      <c r="W9" s="61">
        <f t="shared" si="10"/>
        <v>81806.89041000024</v>
      </c>
    </row>
    <row r="10" spans="1:23" ht="15">
      <c r="A10" s="13">
        <v>4</v>
      </c>
      <c r="B10" s="16" t="s">
        <v>8</v>
      </c>
      <c r="C10" s="41" t="s">
        <v>4</v>
      </c>
      <c r="D10" s="62" t="s">
        <v>33</v>
      </c>
      <c r="E10" s="175">
        <f>151.266266666667*1.15</f>
        <v>173.95620666666704</v>
      </c>
      <c r="F10" s="53">
        <f t="shared" si="0"/>
        <v>29.6635</v>
      </c>
      <c r="G10" s="97">
        <f t="shared" si="2"/>
        <v>5160.149936456678</v>
      </c>
      <c r="H10" s="121">
        <f>9.29*1.025</f>
        <v>9.522249999999998</v>
      </c>
      <c r="I10" s="64">
        <f t="shared" si="3"/>
        <v>1656.4544889316699</v>
      </c>
      <c r="J10" s="55">
        <f t="shared" si="4"/>
        <v>0.247</v>
      </c>
      <c r="K10" s="65">
        <v>0.1721</v>
      </c>
      <c r="L10" s="65">
        <v>0.0749</v>
      </c>
      <c r="M10" s="66">
        <v>0</v>
      </c>
      <c r="N10" s="101">
        <f t="shared" si="1"/>
        <v>3864.7419999999997</v>
      </c>
      <c r="O10" s="64">
        <f t="shared" si="5"/>
        <v>954.5912739999999</v>
      </c>
      <c r="P10" s="193">
        <f>1752.65*1.025</f>
        <v>1796.46625</v>
      </c>
      <c r="Q10" s="127">
        <f t="shared" si="6"/>
        <v>443.72716375</v>
      </c>
      <c r="R10" s="67">
        <f t="shared" si="7"/>
        <v>8214.922863138348</v>
      </c>
      <c r="S10" s="68">
        <v>12</v>
      </c>
      <c r="T10" s="67">
        <f t="shared" si="8"/>
        <v>98579.07435766018</v>
      </c>
      <c r="U10" s="69">
        <v>0.23</v>
      </c>
      <c r="V10" s="132">
        <f t="shared" si="9"/>
        <v>22673.187102261843</v>
      </c>
      <c r="W10" s="61">
        <f t="shared" si="10"/>
        <v>121252.26145992203</v>
      </c>
    </row>
    <row r="11" spans="1:23" ht="15">
      <c r="A11" s="14">
        <v>5</v>
      </c>
      <c r="B11" s="21" t="s">
        <v>20</v>
      </c>
      <c r="C11" s="41" t="s">
        <v>4</v>
      </c>
      <c r="D11" s="62" t="s">
        <v>35</v>
      </c>
      <c r="E11" s="175">
        <f>332.9305*1.15</f>
        <v>382.870075</v>
      </c>
      <c r="F11" s="53">
        <f t="shared" si="0"/>
        <v>29.6635</v>
      </c>
      <c r="G11" s="97">
        <f t="shared" si="2"/>
        <v>11357.266469762499</v>
      </c>
      <c r="H11" s="121">
        <f>9.29*1.025</f>
        <v>9.522249999999998</v>
      </c>
      <c r="I11" s="64">
        <f>E11*H11</f>
        <v>3645.784571668749</v>
      </c>
      <c r="J11" s="55">
        <f t="shared" si="4"/>
        <v>0.7609</v>
      </c>
      <c r="K11" s="65">
        <v>0.6309</v>
      </c>
      <c r="L11" s="65">
        <v>0</v>
      </c>
      <c r="M11" s="66">
        <v>0.13</v>
      </c>
      <c r="N11" s="101">
        <f t="shared" si="1"/>
        <v>3864.7419999999997</v>
      </c>
      <c r="O11" s="64">
        <f t="shared" si="5"/>
        <v>2940.6821878</v>
      </c>
      <c r="P11" s="193">
        <f>1752.65*1.025</f>
        <v>1796.46625</v>
      </c>
      <c r="Q11" s="127">
        <f t="shared" si="6"/>
        <v>1366.931169625</v>
      </c>
      <c r="R11" s="67">
        <f t="shared" si="7"/>
        <v>19310.66439885625</v>
      </c>
      <c r="S11" s="68">
        <v>12</v>
      </c>
      <c r="T11" s="67">
        <f t="shared" si="8"/>
        <v>231727.972786275</v>
      </c>
      <c r="U11" s="69">
        <v>0.23</v>
      </c>
      <c r="V11" s="132">
        <f t="shared" si="9"/>
        <v>53297.433740843255</v>
      </c>
      <c r="W11" s="61">
        <f t="shared" si="10"/>
        <v>285025.40652711823</v>
      </c>
    </row>
    <row r="12" spans="1:23" ht="15">
      <c r="A12" s="14">
        <v>6</v>
      </c>
      <c r="B12" s="21" t="s">
        <v>56</v>
      </c>
      <c r="C12" s="41" t="s">
        <v>4</v>
      </c>
      <c r="D12" s="62"/>
      <c r="E12" s="176">
        <f>164.555900321518*1.15</f>
        <v>189.2392853697457</v>
      </c>
      <c r="F12" s="53">
        <f t="shared" si="0"/>
        <v>29.6635</v>
      </c>
      <c r="G12" s="97">
        <f>E12*F12</f>
        <v>5613.499541565451</v>
      </c>
      <c r="H12" s="121">
        <f>9.29*1.025</f>
        <v>9.522249999999998</v>
      </c>
      <c r="I12" s="64">
        <f>E12*H12</f>
        <v>1801.9837851120606</v>
      </c>
      <c r="J12" s="55">
        <f>K12+L12+M12</f>
        <v>0.1628</v>
      </c>
      <c r="K12" s="137">
        <v>0.1628</v>
      </c>
      <c r="L12" s="65">
        <v>0</v>
      </c>
      <c r="M12" s="66">
        <v>0</v>
      </c>
      <c r="N12" s="101">
        <f t="shared" si="1"/>
        <v>3864.7419999999997</v>
      </c>
      <c r="O12" s="64">
        <f>J12*N12</f>
        <v>629.1799976</v>
      </c>
      <c r="P12" s="193">
        <f>1752.65*1.025</f>
        <v>1796.46625</v>
      </c>
      <c r="Q12" s="127">
        <f>J12*P12</f>
        <v>292.4647055</v>
      </c>
      <c r="R12" s="67">
        <f>G12+I12+O12+Q12</f>
        <v>8337.128029777512</v>
      </c>
      <c r="S12" s="68">
        <v>12</v>
      </c>
      <c r="T12" s="67">
        <f>R12*S12</f>
        <v>100045.53635733014</v>
      </c>
      <c r="U12" s="69">
        <v>0.23</v>
      </c>
      <c r="V12" s="132">
        <f>T12*U12</f>
        <v>23010.473362185934</v>
      </c>
      <c r="W12" s="61">
        <f>T12+V12</f>
        <v>123056.00971951608</v>
      </c>
    </row>
    <row r="13" spans="1:23" ht="15.75" thickBot="1">
      <c r="A13" s="14">
        <v>7</v>
      </c>
      <c r="B13" s="21" t="s">
        <v>11</v>
      </c>
      <c r="C13" s="41" t="s">
        <v>4</v>
      </c>
      <c r="D13" s="71"/>
      <c r="E13" s="177">
        <f>143.70523658266*1.15</f>
        <v>165.261022070059</v>
      </c>
      <c r="F13" s="53">
        <f t="shared" si="0"/>
        <v>29.6635</v>
      </c>
      <c r="G13" s="97">
        <f t="shared" si="2"/>
        <v>4902.220328175195</v>
      </c>
      <c r="H13" s="102">
        <f>9.29*1.025</f>
        <v>9.522249999999998</v>
      </c>
      <c r="I13" s="72">
        <f t="shared" si="3"/>
        <v>1573.6567674066189</v>
      </c>
      <c r="J13" s="55">
        <f t="shared" si="4"/>
        <v>0.2368</v>
      </c>
      <c r="K13" s="138">
        <v>0.2368</v>
      </c>
      <c r="L13" s="73">
        <v>0</v>
      </c>
      <c r="M13" s="74">
        <v>0</v>
      </c>
      <c r="N13" s="102">
        <f t="shared" si="1"/>
        <v>3864.7419999999997</v>
      </c>
      <c r="O13" s="72">
        <f t="shared" si="5"/>
        <v>915.1709056</v>
      </c>
      <c r="P13" s="193">
        <f>1752.65*1.025</f>
        <v>1796.46625</v>
      </c>
      <c r="Q13" s="128">
        <f t="shared" si="6"/>
        <v>425.403208</v>
      </c>
      <c r="R13" s="75">
        <f t="shared" si="7"/>
        <v>7816.451209181814</v>
      </c>
      <c r="S13" s="68">
        <v>12</v>
      </c>
      <c r="T13" s="75">
        <f t="shared" si="8"/>
        <v>93797.41451018177</v>
      </c>
      <c r="U13" s="76">
        <v>0.23</v>
      </c>
      <c r="V13" s="133">
        <f t="shared" si="9"/>
        <v>21573.405337341806</v>
      </c>
      <c r="W13" s="61">
        <f t="shared" si="10"/>
        <v>115370.81984752358</v>
      </c>
    </row>
    <row r="14" spans="1:23" ht="15.75" thickBot="1">
      <c r="A14" s="10"/>
      <c r="B14" s="17"/>
      <c r="C14" s="11" t="s">
        <v>22</v>
      </c>
      <c r="D14" s="77"/>
      <c r="E14" s="170"/>
      <c r="F14" s="78"/>
      <c r="G14" s="78"/>
      <c r="H14" s="78"/>
      <c r="I14" s="78"/>
      <c r="J14" s="79"/>
      <c r="K14" s="79"/>
      <c r="L14" s="79"/>
      <c r="M14" s="79"/>
      <c r="N14" s="78"/>
      <c r="O14" s="78"/>
      <c r="P14" s="125" t="s">
        <v>22</v>
      </c>
      <c r="Q14" s="129"/>
      <c r="R14" s="78"/>
      <c r="S14" s="80"/>
      <c r="T14" s="78"/>
      <c r="U14" s="78"/>
      <c r="V14" s="78"/>
      <c r="W14" s="81"/>
    </row>
    <row r="15" spans="1:23" ht="15">
      <c r="A15" s="13">
        <v>8</v>
      </c>
      <c r="B15" s="43" t="s">
        <v>13</v>
      </c>
      <c r="C15" s="44" t="s">
        <v>4</v>
      </c>
      <c r="D15" s="62" t="s">
        <v>36</v>
      </c>
      <c r="E15" s="174">
        <f>52.11395*1.15</f>
        <v>59.9310425</v>
      </c>
      <c r="F15" s="63">
        <f aca="true" t="shared" si="11" ref="F15:F20">28.94*1.025</f>
        <v>29.6635</v>
      </c>
      <c r="G15" s="97">
        <f aca="true" t="shared" si="12" ref="G15:G20">E15*F15</f>
        <v>1777.7644791987498</v>
      </c>
      <c r="H15" s="100">
        <f>9.29*1.025</f>
        <v>9.522249999999998</v>
      </c>
      <c r="I15" s="54">
        <f aca="true" t="shared" si="13" ref="I15:I20">E15*H15</f>
        <v>570.6783694456249</v>
      </c>
      <c r="J15" s="82">
        <f aca="true" t="shared" si="14" ref="J15:J20">K15+L15+M15</f>
        <v>0.064</v>
      </c>
      <c r="K15" s="65">
        <v>0.052</v>
      </c>
      <c r="L15" s="65">
        <v>0.012</v>
      </c>
      <c r="M15" s="66">
        <v>0</v>
      </c>
      <c r="N15" s="101">
        <f aca="true" t="shared" si="15" ref="N15:N20">3770.48*1.025</f>
        <v>3864.7419999999997</v>
      </c>
      <c r="O15" s="54">
        <f aca="true" t="shared" si="16" ref="O15:O20">J15*N15</f>
        <v>247.34348799999998</v>
      </c>
      <c r="P15" s="193">
        <f>1752.65*1.025</f>
        <v>1796.46625</v>
      </c>
      <c r="Q15" s="126">
        <f aca="true" t="shared" si="17" ref="Q15:Q20">J15*P15</f>
        <v>114.97384</v>
      </c>
      <c r="R15" s="58">
        <f aca="true" t="shared" si="18" ref="R15:R20">G15+I15+O15+Q15</f>
        <v>2710.760176644375</v>
      </c>
      <c r="S15" s="68">
        <v>12</v>
      </c>
      <c r="T15" s="58">
        <f aca="true" t="shared" si="19" ref="T15:T20">R15*S15</f>
        <v>32529.1221197325</v>
      </c>
      <c r="U15" s="60">
        <v>0.23</v>
      </c>
      <c r="V15" s="131">
        <f aca="true" t="shared" si="20" ref="V15:V20">T15*U15</f>
        <v>7481.698087538475</v>
      </c>
      <c r="W15" s="70">
        <f aca="true" t="shared" si="21" ref="W15:W20">T15+V15</f>
        <v>40010.820207270976</v>
      </c>
    </row>
    <row r="16" spans="1:23" ht="15">
      <c r="A16" s="13">
        <v>9</v>
      </c>
      <c r="B16" s="18" t="s">
        <v>14</v>
      </c>
      <c r="C16" s="45" t="s">
        <v>4</v>
      </c>
      <c r="D16" s="62" t="s">
        <v>37</v>
      </c>
      <c r="E16" s="175">
        <f>108.125033333333*1.15</f>
        <v>124.34378833333294</v>
      </c>
      <c r="F16" s="63">
        <f t="shared" si="11"/>
        <v>29.6635</v>
      </c>
      <c r="G16" s="97">
        <f t="shared" si="12"/>
        <v>3688.4719652258214</v>
      </c>
      <c r="H16" s="101">
        <f>9.29*1.025</f>
        <v>9.522249999999998</v>
      </c>
      <c r="I16" s="64">
        <f t="shared" si="13"/>
        <v>1184.0326384570792</v>
      </c>
      <c r="J16" s="191">
        <f t="shared" si="14"/>
        <v>0.1748</v>
      </c>
      <c r="K16" s="190">
        <v>0.0988</v>
      </c>
      <c r="L16" s="190">
        <v>0.076</v>
      </c>
      <c r="M16" s="66">
        <v>0</v>
      </c>
      <c r="N16" s="101">
        <f t="shared" si="15"/>
        <v>3864.7419999999997</v>
      </c>
      <c r="O16" s="64">
        <f t="shared" si="16"/>
        <v>675.5569016</v>
      </c>
      <c r="P16" s="193">
        <f>1752.65*1.025</f>
        <v>1796.46625</v>
      </c>
      <c r="Q16" s="127">
        <f t="shared" si="17"/>
        <v>314.02230050000003</v>
      </c>
      <c r="R16" s="67">
        <f t="shared" si="18"/>
        <v>5862.0838057829005</v>
      </c>
      <c r="S16" s="68">
        <v>12</v>
      </c>
      <c r="T16" s="67">
        <f t="shared" si="19"/>
        <v>70345.0056693948</v>
      </c>
      <c r="U16" s="69">
        <v>0.23</v>
      </c>
      <c r="V16" s="132">
        <f t="shared" si="20"/>
        <v>16179.351303960804</v>
      </c>
      <c r="W16" s="70">
        <f t="shared" si="21"/>
        <v>86524.3569733556</v>
      </c>
    </row>
    <row r="17" spans="1:23" ht="15">
      <c r="A17" s="13">
        <v>10</v>
      </c>
      <c r="B17" s="19" t="s">
        <v>15</v>
      </c>
      <c r="C17" s="46" t="s">
        <v>4</v>
      </c>
      <c r="D17" s="62" t="s">
        <v>38</v>
      </c>
      <c r="E17" s="175">
        <f>103.575383333333*1.15</f>
        <v>119.11169083333293</v>
      </c>
      <c r="F17" s="63">
        <f t="shared" si="11"/>
        <v>29.6635</v>
      </c>
      <c r="G17" s="97">
        <f t="shared" si="12"/>
        <v>3533.269641034571</v>
      </c>
      <c r="H17" s="101">
        <f>9.29*1.025</f>
        <v>9.522249999999998</v>
      </c>
      <c r="I17" s="64">
        <f t="shared" si="13"/>
        <v>1134.2112980377042</v>
      </c>
      <c r="J17" s="82">
        <f t="shared" si="14"/>
        <v>0.177</v>
      </c>
      <c r="K17" s="65">
        <v>0.113</v>
      </c>
      <c r="L17" s="65">
        <v>0.064</v>
      </c>
      <c r="M17" s="66">
        <v>0</v>
      </c>
      <c r="N17" s="101">
        <f t="shared" si="15"/>
        <v>3864.7419999999997</v>
      </c>
      <c r="O17" s="64">
        <f t="shared" si="16"/>
        <v>684.0593339999999</v>
      </c>
      <c r="P17" s="193">
        <f>1752.65*1.025</f>
        <v>1796.46625</v>
      </c>
      <c r="Q17" s="127">
        <f t="shared" si="17"/>
        <v>317.97452625</v>
      </c>
      <c r="R17" s="67">
        <f t="shared" si="18"/>
        <v>5669.5147993222745</v>
      </c>
      <c r="S17" s="68">
        <v>12</v>
      </c>
      <c r="T17" s="67">
        <f t="shared" si="19"/>
        <v>68034.1775918673</v>
      </c>
      <c r="U17" s="69">
        <v>0.23</v>
      </c>
      <c r="V17" s="132">
        <f t="shared" si="20"/>
        <v>15647.860846129479</v>
      </c>
      <c r="W17" s="70">
        <f t="shared" si="21"/>
        <v>83682.03843799677</v>
      </c>
    </row>
    <row r="18" spans="1:23" ht="15">
      <c r="A18" s="13">
        <v>11</v>
      </c>
      <c r="B18" s="16" t="s">
        <v>9</v>
      </c>
      <c r="C18" s="47" t="s">
        <v>5</v>
      </c>
      <c r="D18" s="62" t="s">
        <v>41</v>
      </c>
      <c r="E18" s="175">
        <f>36.1023833333333*1.15</f>
        <v>41.51774083333329</v>
      </c>
      <c r="F18" s="63">
        <f t="shared" si="11"/>
        <v>29.6635</v>
      </c>
      <c r="G18" s="97">
        <f t="shared" si="12"/>
        <v>1231.561505209582</v>
      </c>
      <c r="H18" s="101">
        <f>11.5*1.025</f>
        <v>11.7875</v>
      </c>
      <c r="I18" s="64">
        <f t="shared" si="13"/>
        <v>489.39037007291614</v>
      </c>
      <c r="J18" s="191">
        <f t="shared" si="14"/>
        <v>0.0597</v>
      </c>
      <c r="K18" s="65">
        <v>0.0492</v>
      </c>
      <c r="L18" s="190">
        <v>0.0105</v>
      </c>
      <c r="M18" s="66">
        <v>0</v>
      </c>
      <c r="N18" s="101">
        <f t="shared" si="15"/>
        <v>3864.7419999999997</v>
      </c>
      <c r="O18" s="64">
        <f t="shared" si="16"/>
        <v>230.7250974</v>
      </c>
      <c r="P18" s="194">
        <f>3144.48*1.025</f>
        <v>3223.0919999999996</v>
      </c>
      <c r="Q18" s="127">
        <f t="shared" si="17"/>
        <v>192.4185924</v>
      </c>
      <c r="R18" s="67">
        <f t="shared" si="18"/>
        <v>2144.095565082498</v>
      </c>
      <c r="S18" s="68">
        <v>12</v>
      </c>
      <c r="T18" s="67">
        <f t="shared" si="19"/>
        <v>25729.146780989977</v>
      </c>
      <c r="U18" s="69">
        <v>0.23</v>
      </c>
      <c r="V18" s="132">
        <f t="shared" si="20"/>
        <v>5917.703759627695</v>
      </c>
      <c r="W18" s="70">
        <f t="shared" si="21"/>
        <v>31646.85054061767</v>
      </c>
    </row>
    <row r="19" spans="1:23" ht="15">
      <c r="A19" s="13">
        <v>12</v>
      </c>
      <c r="B19" s="20" t="s">
        <v>17</v>
      </c>
      <c r="C19" s="48" t="s">
        <v>4</v>
      </c>
      <c r="D19" s="62" t="s">
        <v>39</v>
      </c>
      <c r="E19" s="175">
        <f>14.21*1.15</f>
        <v>16.3415</v>
      </c>
      <c r="F19" s="63">
        <f t="shared" si="11"/>
        <v>29.6635</v>
      </c>
      <c r="G19" s="97">
        <f t="shared" si="12"/>
        <v>484.74608524999996</v>
      </c>
      <c r="H19" s="101">
        <f>9.29*1.025</f>
        <v>9.522249999999998</v>
      </c>
      <c r="I19" s="64">
        <f t="shared" si="13"/>
        <v>155.60784837499997</v>
      </c>
      <c r="J19" s="82">
        <f t="shared" si="14"/>
        <v>0.0654</v>
      </c>
      <c r="K19" s="65">
        <v>0.0523</v>
      </c>
      <c r="L19" s="65">
        <v>0.0131</v>
      </c>
      <c r="M19" s="66">
        <v>0</v>
      </c>
      <c r="N19" s="101">
        <f t="shared" si="15"/>
        <v>3864.7419999999997</v>
      </c>
      <c r="O19" s="64">
        <f t="shared" si="16"/>
        <v>252.7541268</v>
      </c>
      <c r="P19" s="193">
        <f>1752.65*1.025</f>
        <v>1796.46625</v>
      </c>
      <c r="Q19" s="127">
        <f t="shared" si="17"/>
        <v>117.48889274999999</v>
      </c>
      <c r="R19" s="67">
        <f t="shared" si="18"/>
        <v>1010.596953175</v>
      </c>
      <c r="S19" s="68">
        <v>12</v>
      </c>
      <c r="T19" s="67">
        <f t="shared" si="19"/>
        <v>12127.1634381</v>
      </c>
      <c r="U19" s="69">
        <v>0.23</v>
      </c>
      <c r="V19" s="132">
        <f t="shared" si="20"/>
        <v>2789.247590763</v>
      </c>
      <c r="W19" s="70">
        <f t="shared" si="21"/>
        <v>14916.411028863</v>
      </c>
    </row>
    <row r="20" spans="1:23" ht="15.75" thickBot="1">
      <c r="A20" s="14">
        <v>13</v>
      </c>
      <c r="B20" s="20" t="s">
        <v>18</v>
      </c>
      <c r="C20" s="49" t="s">
        <v>4</v>
      </c>
      <c r="D20" s="71" t="s">
        <v>57</v>
      </c>
      <c r="E20" s="177">
        <f>4.24993333333333*1.15</f>
        <v>4.887423333333329</v>
      </c>
      <c r="F20" s="63">
        <f t="shared" si="11"/>
        <v>29.6635</v>
      </c>
      <c r="G20" s="97">
        <f t="shared" si="12"/>
        <v>144.9780820483332</v>
      </c>
      <c r="H20" s="101">
        <f>9.29*1.025</f>
        <v>9.522249999999998</v>
      </c>
      <c r="I20" s="72">
        <f t="shared" si="13"/>
        <v>46.53926683583328</v>
      </c>
      <c r="J20" s="82">
        <f t="shared" si="14"/>
        <v>0.029</v>
      </c>
      <c r="K20" s="73">
        <v>0.029</v>
      </c>
      <c r="L20" s="73">
        <v>0</v>
      </c>
      <c r="M20" s="74">
        <v>0</v>
      </c>
      <c r="N20" s="101">
        <f t="shared" si="15"/>
        <v>3864.7419999999997</v>
      </c>
      <c r="O20" s="72">
        <f t="shared" si="16"/>
        <v>112.077518</v>
      </c>
      <c r="P20" s="194">
        <f>1752.65*1.025</f>
        <v>1796.46625</v>
      </c>
      <c r="Q20" s="128">
        <f t="shared" si="17"/>
        <v>52.09752125</v>
      </c>
      <c r="R20" s="75">
        <f t="shared" si="18"/>
        <v>355.69238813416644</v>
      </c>
      <c r="S20" s="83">
        <v>12</v>
      </c>
      <c r="T20" s="75">
        <f t="shared" si="19"/>
        <v>4268.308657609998</v>
      </c>
      <c r="U20" s="76">
        <v>0.23</v>
      </c>
      <c r="V20" s="133">
        <f t="shared" si="20"/>
        <v>981.7109912502995</v>
      </c>
      <c r="W20" s="70">
        <f t="shared" si="21"/>
        <v>5250.019648860297</v>
      </c>
    </row>
    <row r="21" spans="1:23" ht="15.75" thickBot="1">
      <c r="A21" s="10"/>
      <c r="B21" s="23"/>
      <c r="C21" s="11" t="s">
        <v>23</v>
      </c>
      <c r="D21" s="77"/>
      <c r="E21" s="170"/>
      <c r="F21" s="84"/>
      <c r="G21" s="84"/>
      <c r="H21" s="84"/>
      <c r="I21" s="84"/>
      <c r="J21" s="85"/>
      <c r="K21" s="85"/>
      <c r="L21" s="85"/>
      <c r="M21" s="85"/>
      <c r="N21" s="84"/>
      <c r="O21" s="84"/>
      <c r="P21" s="125" t="s">
        <v>23</v>
      </c>
      <c r="Q21" s="129"/>
      <c r="R21" s="84"/>
      <c r="S21" s="86"/>
      <c r="T21" s="84"/>
      <c r="U21" s="84"/>
      <c r="V21" s="84"/>
      <c r="W21" s="87"/>
    </row>
    <row r="22" spans="1:23" ht="15.75" thickBot="1">
      <c r="A22" s="15">
        <v>14</v>
      </c>
      <c r="B22" s="21" t="s">
        <v>19</v>
      </c>
      <c r="C22" s="50" t="s">
        <v>5</v>
      </c>
      <c r="D22" s="88" t="s">
        <v>34</v>
      </c>
      <c r="E22" s="178">
        <f>98.71*1.15</f>
        <v>113.51649999999998</v>
      </c>
      <c r="F22" s="89">
        <f>28.94*1.025</f>
        <v>29.6635</v>
      </c>
      <c r="G22" s="98">
        <f>E22*F22</f>
        <v>3367.296697749999</v>
      </c>
      <c r="H22" s="103">
        <f>11.5*1.025</f>
        <v>11.7875</v>
      </c>
      <c r="I22" s="90">
        <f>E22*H22</f>
        <v>1338.0757437499997</v>
      </c>
      <c r="J22" s="91">
        <f>K22+L22+M22</f>
        <v>0.1323</v>
      </c>
      <c r="K22" s="92">
        <v>0.1093</v>
      </c>
      <c r="L22" s="92">
        <v>0.023</v>
      </c>
      <c r="M22" s="93">
        <v>0</v>
      </c>
      <c r="N22" s="103">
        <f>3770.48*1.025</f>
        <v>3864.7419999999997</v>
      </c>
      <c r="O22" s="90">
        <f>J22*N22</f>
        <v>511.30536659999996</v>
      </c>
      <c r="P22" s="124">
        <f>3144.48*1.025</f>
        <v>3223.0919999999996</v>
      </c>
      <c r="Q22" s="130">
        <f>J22*P22</f>
        <v>426.4150716</v>
      </c>
      <c r="R22" s="94">
        <f>G22+I22+O22+Q22</f>
        <v>5643.092879699999</v>
      </c>
      <c r="S22" s="95">
        <v>12</v>
      </c>
      <c r="T22" s="94">
        <f>R22*S22</f>
        <v>67717.11455639999</v>
      </c>
      <c r="U22" s="60">
        <v>0.23</v>
      </c>
      <c r="V22" s="131">
        <f>T22*U22</f>
        <v>15574.936347971998</v>
      </c>
      <c r="W22" s="96">
        <f>T22+V22</f>
        <v>83292.05090437198</v>
      </c>
    </row>
    <row r="23" spans="1:23" ht="15.75" thickBot="1">
      <c r="A23" s="10"/>
      <c r="B23" s="17"/>
      <c r="C23" s="11" t="s">
        <v>24</v>
      </c>
      <c r="D23" s="77"/>
      <c r="E23" s="171"/>
      <c r="F23" s="78"/>
      <c r="G23" s="78"/>
      <c r="H23" s="78"/>
      <c r="I23" s="78"/>
      <c r="J23" s="79"/>
      <c r="K23" s="79"/>
      <c r="L23" s="79"/>
      <c r="M23" s="79"/>
      <c r="N23" s="78"/>
      <c r="O23" s="78"/>
      <c r="P23" s="165" t="s">
        <v>24</v>
      </c>
      <c r="Q23" s="166"/>
      <c r="R23" s="78"/>
      <c r="S23" s="80"/>
      <c r="T23" s="78"/>
      <c r="U23" s="78"/>
      <c r="V23" s="78"/>
      <c r="W23" s="81"/>
    </row>
    <row r="24" spans="1:23" ht="15.75" thickBot="1">
      <c r="A24" s="39">
        <v>15</v>
      </c>
      <c r="B24" s="152" t="s">
        <v>16</v>
      </c>
      <c r="C24" s="153" t="s">
        <v>4</v>
      </c>
      <c r="D24" s="154" t="s">
        <v>42</v>
      </c>
      <c r="E24" s="178">
        <f>72.8*1.15</f>
        <v>83.71999999999998</v>
      </c>
      <c r="F24" s="155">
        <f>28.94*1.025</f>
        <v>29.6635</v>
      </c>
      <c r="G24" s="78">
        <f>E24*F24</f>
        <v>2483.4282199999993</v>
      </c>
      <c r="H24" s="103">
        <f>9.29*1.025</f>
        <v>9.522249999999998</v>
      </c>
      <c r="I24" s="90">
        <f>E24*H24</f>
        <v>797.2027699999996</v>
      </c>
      <c r="J24" s="156">
        <f>K24+L24+M24</f>
        <v>0.16799999999999998</v>
      </c>
      <c r="K24" s="157">
        <v>0.149</v>
      </c>
      <c r="L24" s="157">
        <v>0.019</v>
      </c>
      <c r="M24" s="158">
        <v>0</v>
      </c>
      <c r="N24" s="103">
        <f>3770.48*1.025</f>
        <v>3864.7419999999997</v>
      </c>
      <c r="O24" s="167">
        <f>N24*J24</f>
        <v>649.2766559999999</v>
      </c>
      <c r="P24" s="149">
        <f>1752.65*1.025</f>
        <v>1796.46625</v>
      </c>
      <c r="Q24" s="167">
        <f>P24*J24</f>
        <v>301.80632999999995</v>
      </c>
      <c r="R24" s="94">
        <f>G24+I24+O24+Q24</f>
        <v>4231.713975999999</v>
      </c>
      <c r="S24" s="80">
        <v>12</v>
      </c>
      <c r="T24" s="94">
        <f>R24*S24</f>
        <v>50780.56771199999</v>
      </c>
      <c r="U24" s="159">
        <v>0.23</v>
      </c>
      <c r="V24" s="160">
        <f>T24*U24</f>
        <v>11679.530573759997</v>
      </c>
      <c r="W24" s="81">
        <f>T24+V24</f>
        <v>62460.09828575999</v>
      </c>
    </row>
    <row r="25" spans="1:23" ht="15.75" thickBot="1">
      <c r="A25" s="139"/>
      <c r="B25" s="140"/>
      <c r="C25" s="161" t="s">
        <v>59</v>
      </c>
      <c r="D25" s="141"/>
      <c r="E25" s="172"/>
      <c r="F25" s="98"/>
      <c r="G25" s="98"/>
      <c r="H25" s="98"/>
      <c r="I25" s="98"/>
      <c r="J25" s="142"/>
      <c r="K25" s="142"/>
      <c r="L25" s="142"/>
      <c r="M25" s="142"/>
      <c r="N25" s="148"/>
      <c r="O25" s="136"/>
      <c r="P25" s="143"/>
      <c r="Q25" s="136"/>
      <c r="R25" s="144"/>
      <c r="S25" s="95"/>
      <c r="T25" s="144"/>
      <c r="U25" s="145"/>
      <c r="V25" s="146"/>
      <c r="W25" s="96"/>
    </row>
    <row r="26" spans="1:23" ht="15.75" thickBot="1">
      <c r="A26" s="39">
        <v>16</v>
      </c>
      <c r="B26" s="152" t="s">
        <v>58</v>
      </c>
      <c r="C26" s="153" t="s">
        <v>4</v>
      </c>
      <c r="D26" s="154"/>
      <c r="E26" s="178">
        <f>72.8*1.15</f>
        <v>83.71999999999998</v>
      </c>
      <c r="F26" s="155">
        <f>28.94*1.025</f>
        <v>29.6635</v>
      </c>
      <c r="G26" s="78">
        <f>E26*F26</f>
        <v>2483.4282199999993</v>
      </c>
      <c r="H26" s="103">
        <f>9.29*1.025</f>
        <v>9.522249999999998</v>
      </c>
      <c r="I26" s="90">
        <f>E26*H26</f>
        <v>797.2027699999996</v>
      </c>
      <c r="J26" s="156">
        <v>0.0181</v>
      </c>
      <c r="K26" s="157">
        <v>0.0181</v>
      </c>
      <c r="L26" s="157">
        <v>0</v>
      </c>
      <c r="M26" s="158">
        <v>0</v>
      </c>
      <c r="N26" s="103">
        <f>3770.48*1.025</f>
        <v>3864.7419999999997</v>
      </c>
      <c r="O26" s="167">
        <f>N26*J26</f>
        <v>69.9518302</v>
      </c>
      <c r="P26" s="149">
        <f>1752.65*1.025</f>
        <v>1796.46625</v>
      </c>
      <c r="Q26" s="167">
        <f>P26*J26</f>
        <v>32.516039125</v>
      </c>
      <c r="R26" s="94">
        <f>G26+I26+O26+Q26</f>
        <v>3383.098859324999</v>
      </c>
      <c r="S26" s="80">
        <v>12</v>
      </c>
      <c r="T26" s="94">
        <f>R26*S26</f>
        <v>40597.18631189999</v>
      </c>
      <c r="U26" s="159">
        <v>0.23</v>
      </c>
      <c r="V26" s="160">
        <f>T26*U26</f>
        <v>9337.352851736998</v>
      </c>
      <c r="W26" s="81">
        <f>T26+V26</f>
        <v>49934.53916363699</v>
      </c>
    </row>
    <row r="27" spans="1:23" ht="16.5" thickBot="1">
      <c r="A27" s="24"/>
      <c r="B27" s="25"/>
      <c r="C27" s="26"/>
      <c r="D27" s="26"/>
      <c r="E27" s="173">
        <f>SUM(E7:E26)</f>
        <v>1868.151563273138</v>
      </c>
      <c r="F27" s="27"/>
      <c r="G27" s="27"/>
      <c r="H27" s="27"/>
      <c r="I27" s="27"/>
      <c r="J27" s="28"/>
      <c r="K27" s="29" t="s">
        <v>30</v>
      </c>
      <c r="L27" s="28"/>
      <c r="M27" s="28"/>
      <c r="N27" s="27"/>
      <c r="O27" s="27"/>
      <c r="P27" s="27"/>
      <c r="Q27" s="27"/>
      <c r="R27" s="163">
        <f>SUM(R7:R26)</f>
        <v>88844.83845796973</v>
      </c>
      <c r="S27" s="27"/>
      <c r="T27" s="163">
        <f>SUM(T7:T26)</f>
        <v>1066138.0614956368</v>
      </c>
      <c r="U27" s="150"/>
      <c r="V27" s="151"/>
      <c r="W27" s="163">
        <f>SUM(W7:W26)</f>
        <v>1311349.8156396332</v>
      </c>
    </row>
    <row r="28" ht="15.75" thickTop="1">
      <c r="E28" s="5"/>
    </row>
    <row r="29" spans="1:13" ht="15">
      <c r="A29" s="135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</row>
    <row r="30" spans="1:23" ht="1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</row>
    <row r="31" spans="1:23" ht="1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</row>
    <row r="32" spans="1:23" ht="1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</row>
    <row r="33" spans="1:23" ht="15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</row>
    <row r="34" spans="1:23" ht="1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</row>
    <row r="35" spans="1:23" ht="15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</row>
    <row r="36" spans="1:23" ht="1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</row>
    <row r="37" spans="1:23" ht="15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</row>
    <row r="38" spans="1:23" ht="15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</row>
    <row r="39" spans="1:23" ht="1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23" ht="15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</row>
    <row r="41" spans="1:23" ht="1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</row>
    <row r="42" spans="1:23" ht="1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</row>
    <row r="43" spans="1:23" ht="1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</row>
    <row r="44" spans="1:23" ht="1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</row>
    <row r="45" spans="1:23" ht="1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</row>
    <row r="46" spans="1:23" ht="15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</row>
    <row r="47" spans="1:23" ht="15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</row>
    <row r="48" spans="1:23" ht="1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</row>
    <row r="49" spans="1:23" ht="1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</row>
    <row r="50" spans="1:23" ht="1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</row>
    <row r="51" spans="1:23" ht="15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</row>
    <row r="52" spans="4:9" ht="15">
      <c r="D52" s="135"/>
      <c r="E52" s="135"/>
      <c r="F52" s="135"/>
      <c r="G52" s="135"/>
      <c r="H52" s="135"/>
      <c r="I52" s="135"/>
    </row>
    <row r="53" spans="4:9" ht="15">
      <c r="D53" s="135"/>
      <c r="E53" s="135"/>
      <c r="F53" s="135"/>
      <c r="G53" s="135"/>
      <c r="H53" s="135"/>
      <c r="I53" s="135"/>
    </row>
    <row r="54" spans="4:9" ht="15">
      <c r="D54" s="135"/>
      <c r="E54" s="135"/>
      <c r="F54" s="135"/>
      <c r="G54" s="135"/>
      <c r="H54" s="135"/>
      <c r="I54" s="135"/>
    </row>
    <row r="55" spans="4:9" ht="15">
      <c r="D55" s="135"/>
      <c r="E55" s="135"/>
      <c r="F55" s="135"/>
      <c r="G55" s="135"/>
      <c r="H55" s="135"/>
      <c r="I55" s="135"/>
    </row>
    <row r="56" spans="4:9" ht="15">
      <c r="D56" s="135"/>
      <c r="E56" s="135"/>
      <c r="F56" s="135"/>
      <c r="G56" s="135"/>
      <c r="H56" s="135"/>
      <c r="I56" s="135"/>
    </row>
  </sheetData>
  <sheetProtection/>
  <mergeCells count="1">
    <mergeCell ref="B2:W2"/>
  </mergeCells>
  <printOptions/>
  <pageMargins left="0.25" right="0.25" top="0.75" bottom="0.75" header="0.3" footer="0.3"/>
  <pageSetup fitToHeight="0" fitToWidth="1"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zoomScale="110" zoomScaleNormal="110" zoomScalePageLayoutView="0" workbookViewId="0" topLeftCell="A1">
      <selection activeCell="G30" sqref="G30"/>
    </sheetView>
  </sheetViews>
  <sheetFormatPr defaultColWidth="9.140625" defaultRowHeight="15"/>
  <cols>
    <col min="1" max="1" width="5.7109375" style="0" customWidth="1"/>
    <col min="2" max="2" width="30.00390625" style="0" customWidth="1"/>
    <col min="3" max="3" width="12.8515625" style="3" customWidth="1"/>
    <col min="4" max="4" width="13.8515625" style="3" customWidth="1"/>
    <col min="5" max="5" width="13.00390625" style="3" customWidth="1"/>
    <col min="6" max="6" width="6.7109375" style="0" customWidth="1"/>
    <col min="7" max="7" width="8.7109375" style="0" customWidth="1"/>
    <col min="8" max="8" width="6.7109375" style="0" customWidth="1"/>
    <col min="9" max="9" width="8.7109375" style="0" customWidth="1"/>
    <col min="10" max="10" width="10.421875" style="0" customWidth="1"/>
    <col min="11" max="11" width="11.8515625" style="0" customWidth="1"/>
    <col min="12" max="12" width="12.140625" style="0" customWidth="1"/>
    <col min="13" max="13" width="11.7109375" style="0" customWidth="1"/>
    <col min="14" max="17" width="8.7109375" style="0" customWidth="1"/>
    <col min="18" max="18" width="14.140625" style="0" customWidth="1"/>
    <col min="19" max="19" width="5.57421875" style="0" customWidth="1"/>
    <col min="20" max="20" width="12.7109375" style="0" customWidth="1"/>
    <col min="21" max="21" width="7.28125" style="0" customWidth="1"/>
    <col min="22" max="22" width="11.140625" style="0" customWidth="1"/>
    <col min="23" max="23" width="19.57421875" style="0" customWidth="1"/>
  </cols>
  <sheetData>
    <row r="1" spans="20:21" ht="15.75">
      <c r="T1" s="4" t="s">
        <v>77</v>
      </c>
      <c r="U1" s="4"/>
    </row>
    <row r="2" spans="2:23" ht="36" customHeight="1">
      <c r="B2" s="200" t="s">
        <v>65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ht="15.75" thickBot="1"/>
    <row r="4" spans="1:23" s="1" customFormat="1" ht="200.25" customHeight="1" thickBot="1" thickTop="1">
      <c r="A4" s="114" t="s">
        <v>27</v>
      </c>
      <c r="B4" s="107" t="s">
        <v>7</v>
      </c>
      <c r="C4" s="108" t="s">
        <v>0</v>
      </c>
      <c r="D4" s="109" t="s">
        <v>26</v>
      </c>
      <c r="E4" s="110" t="s">
        <v>28</v>
      </c>
      <c r="F4" s="111" t="s">
        <v>43</v>
      </c>
      <c r="G4" s="115" t="s">
        <v>46</v>
      </c>
      <c r="H4" s="112" t="s">
        <v>45</v>
      </c>
      <c r="I4" s="116" t="s">
        <v>61</v>
      </c>
      <c r="J4" s="111" t="s">
        <v>47</v>
      </c>
      <c r="K4" s="117" t="s">
        <v>1</v>
      </c>
      <c r="L4" s="117" t="s">
        <v>2</v>
      </c>
      <c r="M4" s="118" t="s">
        <v>3</v>
      </c>
      <c r="N4" s="119" t="s">
        <v>48</v>
      </c>
      <c r="O4" s="116" t="s">
        <v>63</v>
      </c>
      <c r="P4" s="112" t="s">
        <v>49</v>
      </c>
      <c r="Q4" s="113" t="s">
        <v>50</v>
      </c>
      <c r="R4" s="110" t="s">
        <v>51</v>
      </c>
      <c r="S4" s="115" t="s">
        <v>29</v>
      </c>
      <c r="T4" s="110" t="s">
        <v>52</v>
      </c>
      <c r="U4" s="110" t="s">
        <v>44</v>
      </c>
      <c r="V4" s="110" t="s">
        <v>6</v>
      </c>
      <c r="W4" s="120" t="s">
        <v>53</v>
      </c>
    </row>
    <row r="5" spans="1:23" s="2" customFormat="1" ht="15.75" thickBot="1">
      <c r="A5" s="30">
        <v>1</v>
      </c>
      <c r="B5" s="31">
        <v>2</v>
      </c>
      <c r="C5" s="32">
        <v>3</v>
      </c>
      <c r="D5" s="33">
        <v>4</v>
      </c>
      <c r="E5" s="34">
        <v>5</v>
      </c>
      <c r="F5" s="31">
        <v>6</v>
      </c>
      <c r="G5" s="37">
        <v>7</v>
      </c>
      <c r="H5" s="99">
        <v>8</v>
      </c>
      <c r="I5" s="38">
        <v>9</v>
      </c>
      <c r="J5" s="31">
        <v>10</v>
      </c>
      <c r="K5" s="32">
        <v>11</v>
      </c>
      <c r="L5" s="32">
        <v>12</v>
      </c>
      <c r="M5" s="33">
        <v>13</v>
      </c>
      <c r="N5" s="99">
        <v>14</v>
      </c>
      <c r="O5" s="38">
        <v>15</v>
      </c>
      <c r="P5" s="99">
        <v>16</v>
      </c>
      <c r="Q5" s="38">
        <v>17</v>
      </c>
      <c r="R5" s="34">
        <v>18</v>
      </c>
      <c r="S5" s="37">
        <v>19</v>
      </c>
      <c r="T5" s="34">
        <v>20</v>
      </c>
      <c r="U5" s="34">
        <v>21</v>
      </c>
      <c r="V5" s="34">
        <v>22</v>
      </c>
      <c r="W5" s="36">
        <v>23</v>
      </c>
    </row>
    <row r="6" spans="1:23" s="2" customFormat="1" ht="15.75" thickBot="1">
      <c r="A6" s="7"/>
      <c r="B6" s="8"/>
      <c r="C6" s="8" t="s">
        <v>21</v>
      </c>
      <c r="D6" s="51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</row>
    <row r="7" spans="1:23" ht="15">
      <c r="A7" s="12">
        <v>1</v>
      </c>
      <c r="B7" s="22" t="s">
        <v>25</v>
      </c>
      <c r="C7" s="40" t="s">
        <v>4</v>
      </c>
      <c r="D7" s="52" t="s">
        <v>66</v>
      </c>
      <c r="E7" s="169">
        <f>'[1]załacznik nr 1 kalkulacj'!E7-(109.441*0.105)</f>
        <v>97.9497866666667</v>
      </c>
      <c r="F7" s="53"/>
      <c r="G7" s="97"/>
      <c r="H7" s="100"/>
      <c r="I7" s="54"/>
      <c r="J7" s="55">
        <f>K7+L7+M7</f>
        <v>0.1863</v>
      </c>
      <c r="K7" s="56">
        <f>'załacznik nr 1 kalkulacj'!K7</f>
        <v>0.1863</v>
      </c>
      <c r="L7" s="56">
        <f>'załacznik nr 1 kalkulacj'!L7</f>
        <v>0</v>
      </c>
      <c r="M7" s="57">
        <v>0</v>
      </c>
      <c r="N7" s="100"/>
      <c r="O7" s="54"/>
      <c r="P7" s="122"/>
      <c r="Q7" s="126"/>
      <c r="R7" s="58"/>
      <c r="S7" s="59">
        <v>12</v>
      </c>
      <c r="T7" s="58"/>
      <c r="U7" s="60">
        <v>0.23</v>
      </c>
      <c r="V7" s="131"/>
      <c r="W7" s="61"/>
    </row>
    <row r="8" spans="1:23" ht="15">
      <c r="A8" s="13">
        <v>2</v>
      </c>
      <c r="B8" s="16" t="s">
        <v>12</v>
      </c>
      <c r="C8" s="41" t="s">
        <v>4</v>
      </c>
      <c r="D8" s="198" t="s">
        <v>82</v>
      </c>
      <c r="E8" s="169">
        <f>'[1]załacznik nr 1 kalkulacj'!E8-(72.568*0.105)</f>
        <v>64.94789</v>
      </c>
      <c r="F8" s="53"/>
      <c r="G8" s="97"/>
      <c r="H8" s="121"/>
      <c r="I8" s="64"/>
      <c r="J8" s="55">
        <f aca="true" t="shared" si="0" ref="J8:J13">K8+L8+M8</f>
        <v>0.07519999999999999</v>
      </c>
      <c r="K8" s="56">
        <f>'załacznik nr 1 kalkulacj'!K8</f>
        <v>0.0677</v>
      </c>
      <c r="L8" s="56">
        <f>'załacznik nr 1 kalkulacj'!L8</f>
        <v>0.0075</v>
      </c>
      <c r="M8" s="66">
        <v>0</v>
      </c>
      <c r="N8" s="101"/>
      <c r="O8" s="64"/>
      <c r="P8" s="123"/>
      <c r="Q8" s="127"/>
      <c r="R8" s="67"/>
      <c r="S8" s="68">
        <v>12</v>
      </c>
      <c r="T8" s="67"/>
      <c r="U8" s="69">
        <v>0.23</v>
      </c>
      <c r="V8" s="132"/>
      <c r="W8" s="61"/>
    </row>
    <row r="9" spans="1:23" ht="15">
      <c r="A9" s="13">
        <v>3</v>
      </c>
      <c r="B9" s="16" t="s">
        <v>10</v>
      </c>
      <c r="C9" s="42" t="s">
        <v>5</v>
      </c>
      <c r="D9" s="62" t="s">
        <v>67</v>
      </c>
      <c r="E9" s="169">
        <f>'[1]załacznik nr 1 kalkulacj'!E9-(127.727*0.105)</f>
        <v>114.31533166666705</v>
      </c>
      <c r="F9" s="53"/>
      <c r="G9" s="97"/>
      <c r="H9" s="101"/>
      <c r="I9" s="64"/>
      <c r="J9" s="55">
        <f t="shared" si="0"/>
        <v>0.035</v>
      </c>
      <c r="K9" s="56">
        <f>'załacznik nr 1 kalkulacj'!K9</f>
        <v>0.035</v>
      </c>
      <c r="L9" s="56">
        <f>'załacznik nr 1 kalkulacj'!L9</f>
        <v>0</v>
      </c>
      <c r="M9" s="66">
        <v>0</v>
      </c>
      <c r="N9" s="101"/>
      <c r="O9" s="64"/>
      <c r="P9" s="124"/>
      <c r="Q9" s="127"/>
      <c r="R9" s="67"/>
      <c r="S9" s="59">
        <v>12</v>
      </c>
      <c r="T9" s="67"/>
      <c r="U9" s="69">
        <v>0.23</v>
      </c>
      <c r="V9" s="132"/>
      <c r="W9" s="61"/>
    </row>
    <row r="10" spans="1:23" ht="15">
      <c r="A10" s="13">
        <v>4</v>
      </c>
      <c r="B10" s="16" t="s">
        <v>8</v>
      </c>
      <c r="C10" s="41" t="s">
        <v>4</v>
      </c>
      <c r="D10" s="197" t="s">
        <v>79</v>
      </c>
      <c r="E10" s="169">
        <f>'[1]załacznik nr 1 kalkulacj'!E10-(173.956*0.105)</f>
        <v>155.69082666666705</v>
      </c>
      <c r="F10" s="53"/>
      <c r="G10" s="97"/>
      <c r="H10" s="121"/>
      <c r="I10" s="64"/>
      <c r="J10" s="55">
        <f t="shared" si="0"/>
        <v>0.247</v>
      </c>
      <c r="K10" s="56">
        <f>'załacznik nr 1 kalkulacj'!K10</f>
        <v>0.1721</v>
      </c>
      <c r="L10" s="56">
        <f>'załacznik nr 1 kalkulacj'!L10</f>
        <v>0.0749</v>
      </c>
      <c r="M10" s="66">
        <v>0</v>
      </c>
      <c r="N10" s="101"/>
      <c r="O10" s="64"/>
      <c r="P10" s="123"/>
      <c r="Q10" s="127"/>
      <c r="R10" s="67"/>
      <c r="S10" s="59">
        <v>12</v>
      </c>
      <c r="T10" s="67"/>
      <c r="U10" s="69">
        <v>0.23</v>
      </c>
      <c r="V10" s="132"/>
      <c r="W10" s="61"/>
    </row>
    <row r="11" spans="1:23" ht="15">
      <c r="A11" s="14">
        <v>5</v>
      </c>
      <c r="B11" s="21" t="s">
        <v>20</v>
      </c>
      <c r="C11" s="41" t="s">
        <v>4</v>
      </c>
      <c r="D11" s="62" t="s">
        <v>68</v>
      </c>
      <c r="E11" s="169">
        <f>'[1]załacznik nr 1 kalkulacj'!E11-(382.87*0.105)</f>
        <v>342.668725</v>
      </c>
      <c r="F11" s="53"/>
      <c r="G11" s="97"/>
      <c r="H11" s="121"/>
      <c r="I11" s="64"/>
      <c r="J11" s="55">
        <f t="shared" si="0"/>
        <v>0.7609</v>
      </c>
      <c r="K11" s="56">
        <f>'załacznik nr 1 kalkulacj'!K11</f>
        <v>0.6309</v>
      </c>
      <c r="L11" s="56">
        <f>'załacznik nr 1 kalkulacj'!L11</f>
        <v>0</v>
      </c>
      <c r="M11" s="66">
        <v>0.13</v>
      </c>
      <c r="N11" s="101"/>
      <c r="O11" s="64"/>
      <c r="P11" s="123"/>
      <c r="Q11" s="127"/>
      <c r="R11" s="67"/>
      <c r="S11" s="59">
        <v>12</v>
      </c>
      <c r="T11" s="67"/>
      <c r="U11" s="69">
        <v>0.23</v>
      </c>
      <c r="V11" s="132"/>
      <c r="W11" s="61"/>
    </row>
    <row r="12" spans="1:23" ht="15">
      <c r="A12" s="14">
        <v>6</v>
      </c>
      <c r="B12" s="21" t="s">
        <v>56</v>
      </c>
      <c r="C12" s="41" t="s">
        <v>4</v>
      </c>
      <c r="D12" s="62" t="s">
        <v>69</v>
      </c>
      <c r="E12" s="169">
        <f>'[1]załacznik nr 1 kalkulacj'!E12-(189.239*0.105)</f>
        <v>169.3691903697457</v>
      </c>
      <c r="F12" s="53"/>
      <c r="G12" s="97"/>
      <c r="H12" s="121"/>
      <c r="I12" s="64"/>
      <c r="J12" s="55">
        <f t="shared" si="0"/>
        <v>0.1628</v>
      </c>
      <c r="K12" s="56">
        <f>'załacznik nr 1 kalkulacj'!K12</f>
        <v>0.1628</v>
      </c>
      <c r="L12" s="56">
        <f>'załacznik nr 1 kalkulacj'!L12</f>
        <v>0</v>
      </c>
      <c r="M12" s="66">
        <v>0</v>
      </c>
      <c r="N12" s="101"/>
      <c r="O12" s="64"/>
      <c r="P12" s="123"/>
      <c r="Q12" s="127"/>
      <c r="R12" s="67"/>
      <c r="S12" s="59">
        <v>12</v>
      </c>
      <c r="T12" s="67"/>
      <c r="U12" s="69">
        <v>0.23</v>
      </c>
      <c r="V12" s="132"/>
      <c r="W12" s="61"/>
    </row>
    <row r="13" spans="1:23" ht="15.75" thickBot="1">
      <c r="A13" s="14">
        <v>7</v>
      </c>
      <c r="B13" s="21" t="s">
        <v>11</v>
      </c>
      <c r="C13" s="41" t="s">
        <v>4</v>
      </c>
      <c r="D13" s="71" t="s">
        <v>78</v>
      </c>
      <c r="E13" s="169">
        <v>0</v>
      </c>
      <c r="F13" s="53"/>
      <c r="G13" s="97"/>
      <c r="H13" s="102"/>
      <c r="I13" s="72"/>
      <c r="J13" s="55">
        <f t="shared" si="0"/>
        <v>0.2368</v>
      </c>
      <c r="K13" s="56">
        <f>'załacznik nr 1 kalkulacj'!K13</f>
        <v>0.2368</v>
      </c>
      <c r="L13" s="56">
        <f>'załacznik nr 1 kalkulacj'!L13</f>
        <v>0</v>
      </c>
      <c r="M13" s="74">
        <v>0</v>
      </c>
      <c r="N13" s="102"/>
      <c r="O13" s="72"/>
      <c r="P13" s="123"/>
      <c r="Q13" s="128"/>
      <c r="R13" s="75"/>
      <c r="S13" s="59">
        <v>12</v>
      </c>
      <c r="T13" s="75"/>
      <c r="U13" s="76">
        <v>0.23</v>
      </c>
      <c r="V13" s="133"/>
      <c r="W13" s="61"/>
    </row>
    <row r="14" spans="1:23" ht="15.75" thickBot="1">
      <c r="A14" s="10"/>
      <c r="B14" s="17"/>
      <c r="C14" s="11" t="s">
        <v>22</v>
      </c>
      <c r="D14" s="77"/>
      <c r="E14" s="170"/>
      <c r="F14" s="78"/>
      <c r="G14" s="78"/>
      <c r="H14" s="78"/>
      <c r="I14" s="78"/>
      <c r="J14" s="79"/>
      <c r="K14" s="79"/>
      <c r="L14" s="79"/>
      <c r="M14" s="79"/>
      <c r="N14" s="78"/>
      <c r="O14" s="78"/>
      <c r="P14" s="125"/>
      <c r="Q14" s="166"/>
      <c r="R14" s="78"/>
      <c r="S14" s="80"/>
      <c r="T14" s="78"/>
      <c r="U14" s="78"/>
      <c r="V14" s="78"/>
      <c r="W14" s="81"/>
    </row>
    <row r="15" spans="1:23" ht="15">
      <c r="A15" s="13">
        <v>8</v>
      </c>
      <c r="B15" s="43" t="s">
        <v>13</v>
      </c>
      <c r="C15" s="44" t="s">
        <v>4</v>
      </c>
      <c r="D15" s="62" t="s">
        <v>70</v>
      </c>
      <c r="E15" s="169">
        <f>'[1]załacznik nr 1 kalkulacj'!E15-(59.931*0.105)</f>
        <v>53.6382875</v>
      </c>
      <c r="F15" s="63"/>
      <c r="G15" s="97"/>
      <c r="H15" s="100"/>
      <c r="I15" s="54"/>
      <c r="J15" s="82">
        <f aca="true" t="shared" si="1" ref="J15:J20">K15+L15+M15</f>
        <v>0.064</v>
      </c>
      <c r="K15" s="56">
        <v>0.052</v>
      </c>
      <c r="L15" s="56">
        <v>0.012</v>
      </c>
      <c r="M15" s="66">
        <v>0</v>
      </c>
      <c r="N15" s="101"/>
      <c r="O15" s="54"/>
      <c r="P15" s="123"/>
      <c r="Q15" s="126"/>
      <c r="R15" s="58"/>
      <c r="S15" s="59">
        <v>12</v>
      </c>
      <c r="T15" s="58"/>
      <c r="U15" s="60">
        <v>0.23</v>
      </c>
      <c r="V15" s="131"/>
      <c r="W15" s="70"/>
    </row>
    <row r="16" spans="1:23" ht="15">
      <c r="A16" s="13">
        <v>9</v>
      </c>
      <c r="B16" s="18" t="s">
        <v>14</v>
      </c>
      <c r="C16" s="45" t="s">
        <v>4</v>
      </c>
      <c r="D16" s="62" t="s">
        <v>71</v>
      </c>
      <c r="E16" s="169">
        <f>'[1]załacznik nr 1 kalkulacj'!E16-(124.344*0.105)</f>
        <v>111.28766833333295</v>
      </c>
      <c r="F16" s="63"/>
      <c r="G16" s="97"/>
      <c r="H16" s="101"/>
      <c r="I16" s="64"/>
      <c r="J16" s="82">
        <f t="shared" si="1"/>
        <v>0.12079999999999999</v>
      </c>
      <c r="K16" s="56">
        <f>'załacznik nr 1 kalkulacj'!K16</f>
        <v>0.0988</v>
      </c>
      <c r="L16" s="56">
        <v>0.022</v>
      </c>
      <c r="M16" s="66">
        <v>0</v>
      </c>
      <c r="N16" s="101"/>
      <c r="O16" s="64"/>
      <c r="P16" s="123"/>
      <c r="Q16" s="127"/>
      <c r="R16" s="67"/>
      <c r="S16" s="59">
        <v>12</v>
      </c>
      <c r="T16" s="67"/>
      <c r="U16" s="69">
        <v>0.23</v>
      </c>
      <c r="V16" s="132"/>
      <c r="W16" s="70"/>
    </row>
    <row r="17" spans="1:23" ht="15">
      <c r="A17" s="13">
        <v>10</v>
      </c>
      <c r="B17" s="19" t="s">
        <v>15</v>
      </c>
      <c r="C17" s="46" t="s">
        <v>4</v>
      </c>
      <c r="D17" s="62" t="s">
        <v>72</v>
      </c>
      <c r="E17" s="169">
        <f>'[1]załacznik nr 1 kalkulacj'!E17-(119.112*0.105)</f>
        <v>106.60493083333293</v>
      </c>
      <c r="F17" s="63"/>
      <c r="G17" s="97"/>
      <c r="H17" s="101"/>
      <c r="I17" s="64"/>
      <c r="J17" s="82">
        <f t="shared" si="1"/>
        <v>0.177</v>
      </c>
      <c r="K17" s="56">
        <f>'załacznik nr 1 kalkulacj'!K17</f>
        <v>0.113</v>
      </c>
      <c r="L17" s="56">
        <f>'załacznik nr 1 kalkulacj'!L17</f>
        <v>0.064</v>
      </c>
      <c r="M17" s="66">
        <v>0</v>
      </c>
      <c r="N17" s="101"/>
      <c r="O17" s="64"/>
      <c r="P17" s="123"/>
      <c r="Q17" s="127"/>
      <c r="R17" s="67"/>
      <c r="S17" s="59">
        <v>12</v>
      </c>
      <c r="T17" s="67"/>
      <c r="U17" s="69">
        <v>0.23</v>
      </c>
      <c r="V17" s="132"/>
      <c r="W17" s="70"/>
    </row>
    <row r="18" spans="1:23" ht="15">
      <c r="A18" s="13">
        <v>11</v>
      </c>
      <c r="B18" s="16" t="s">
        <v>9</v>
      </c>
      <c r="C18" s="47" t="s">
        <v>5</v>
      </c>
      <c r="D18" s="62" t="s">
        <v>73</v>
      </c>
      <c r="E18" s="169">
        <f>'[1]załacznik nr 1 kalkulacj'!E18-(41.518*0.105)</f>
        <v>37.158350833333294</v>
      </c>
      <c r="F18" s="63"/>
      <c r="G18" s="97"/>
      <c r="H18" s="101"/>
      <c r="I18" s="64"/>
      <c r="J18" s="82">
        <f t="shared" si="1"/>
        <v>0.0597</v>
      </c>
      <c r="K18" s="56">
        <f>'załacznik nr 1 kalkulacj'!K18</f>
        <v>0.0492</v>
      </c>
      <c r="L18" s="56">
        <f>'załacznik nr 1 kalkulacj'!L18</f>
        <v>0.0105</v>
      </c>
      <c r="M18" s="66">
        <v>0</v>
      </c>
      <c r="N18" s="101"/>
      <c r="O18" s="64"/>
      <c r="P18" s="124"/>
      <c r="Q18" s="127"/>
      <c r="R18" s="67"/>
      <c r="S18" s="59">
        <v>12</v>
      </c>
      <c r="T18" s="67"/>
      <c r="U18" s="69">
        <v>0.23</v>
      </c>
      <c r="V18" s="132"/>
      <c r="W18" s="70"/>
    </row>
    <row r="19" spans="1:23" ht="15">
      <c r="A19" s="13">
        <v>12</v>
      </c>
      <c r="B19" s="20" t="s">
        <v>17</v>
      </c>
      <c r="C19" s="48" t="s">
        <v>4</v>
      </c>
      <c r="D19" s="197" t="s">
        <v>80</v>
      </c>
      <c r="E19" s="169">
        <f>'[1]załacznik nr 1 kalkulacj'!E19</f>
        <v>16.3415</v>
      </c>
      <c r="F19" s="63"/>
      <c r="G19" s="97"/>
      <c r="H19" s="101"/>
      <c r="I19" s="64"/>
      <c r="J19" s="82">
        <f t="shared" si="1"/>
        <v>0.0654</v>
      </c>
      <c r="K19" s="56">
        <f>'załacznik nr 1 kalkulacj'!K19</f>
        <v>0.0523</v>
      </c>
      <c r="L19" s="56">
        <f>'załacznik nr 1 kalkulacj'!L19</f>
        <v>0.0131</v>
      </c>
      <c r="M19" s="66">
        <v>0</v>
      </c>
      <c r="N19" s="101"/>
      <c r="O19" s="64"/>
      <c r="P19" s="123"/>
      <c r="Q19" s="127"/>
      <c r="R19" s="67"/>
      <c r="S19" s="59">
        <v>12</v>
      </c>
      <c r="T19" s="67"/>
      <c r="U19" s="69">
        <v>0.23</v>
      </c>
      <c r="V19" s="132"/>
      <c r="W19" s="70"/>
    </row>
    <row r="20" spans="1:23" ht="15.75" thickBot="1">
      <c r="A20" s="14">
        <v>13</v>
      </c>
      <c r="B20" s="20" t="s">
        <v>18</v>
      </c>
      <c r="C20" s="49" t="s">
        <v>4</v>
      </c>
      <c r="D20" s="199" t="s">
        <v>81</v>
      </c>
      <c r="E20" s="169">
        <f>'[1]załacznik nr 1 kalkulacj'!E20</f>
        <v>4.887423333333329</v>
      </c>
      <c r="F20" s="63"/>
      <c r="G20" s="97"/>
      <c r="H20" s="134"/>
      <c r="I20" s="72"/>
      <c r="J20" s="82">
        <f t="shared" si="1"/>
        <v>0.029</v>
      </c>
      <c r="K20" s="56">
        <f>'załacznik nr 1 kalkulacj'!K20</f>
        <v>0.029</v>
      </c>
      <c r="L20" s="56">
        <f>'załacznik nr 1 kalkulacj'!L20</f>
        <v>0</v>
      </c>
      <c r="M20" s="74">
        <v>0</v>
      </c>
      <c r="N20" s="101"/>
      <c r="O20" s="72"/>
      <c r="P20" s="124"/>
      <c r="Q20" s="128"/>
      <c r="R20" s="75"/>
      <c r="S20" s="59">
        <v>12</v>
      </c>
      <c r="T20" s="75"/>
      <c r="U20" s="76">
        <v>0.23</v>
      </c>
      <c r="V20" s="133"/>
      <c r="W20" s="70"/>
    </row>
    <row r="21" spans="1:23" ht="15.75" thickBot="1">
      <c r="A21" s="10"/>
      <c r="B21" s="23"/>
      <c r="C21" s="11" t="s">
        <v>23</v>
      </c>
      <c r="D21" s="77"/>
      <c r="E21" s="170"/>
      <c r="F21" s="84"/>
      <c r="G21" s="84"/>
      <c r="H21" s="84"/>
      <c r="I21" s="84"/>
      <c r="J21" s="85"/>
      <c r="K21" s="85"/>
      <c r="L21" s="85"/>
      <c r="M21" s="85"/>
      <c r="N21" s="84"/>
      <c r="O21" s="84"/>
      <c r="P21" s="125"/>
      <c r="Q21" s="166"/>
      <c r="R21" s="84"/>
      <c r="S21" s="86"/>
      <c r="T21" s="84"/>
      <c r="U21" s="84"/>
      <c r="V21" s="84"/>
      <c r="W21" s="87"/>
    </row>
    <row r="22" spans="1:23" ht="15.75" thickBot="1">
      <c r="A22" s="15">
        <v>14</v>
      </c>
      <c r="B22" s="21" t="s">
        <v>19</v>
      </c>
      <c r="C22" s="50" t="s">
        <v>5</v>
      </c>
      <c r="D22" s="88" t="s">
        <v>74</v>
      </c>
      <c r="E22" s="169">
        <f>'[1]załacznik nr 1 kalkulacj'!E22-(113.517*0.105)</f>
        <v>101.59721499999998</v>
      </c>
      <c r="F22" s="89"/>
      <c r="G22" s="98"/>
      <c r="H22" s="103"/>
      <c r="I22" s="90"/>
      <c r="J22" s="91">
        <f>K22+L22+M22</f>
        <v>0.1323</v>
      </c>
      <c r="K22" s="56">
        <f>'załacznik nr 1 kalkulacj'!K22</f>
        <v>0.1093</v>
      </c>
      <c r="L22" s="56">
        <f>'załacznik nr 1 kalkulacj'!L22</f>
        <v>0.023</v>
      </c>
      <c r="M22" s="93">
        <v>0</v>
      </c>
      <c r="N22" s="103"/>
      <c r="O22" s="90"/>
      <c r="P22" s="124"/>
      <c r="Q22" s="130"/>
      <c r="R22" s="94"/>
      <c r="S22" s="59">
        <v>12</v>
      </c>
      <c r="T22" s="94"/>
      <c r="U22" s="60">
        <v>0.23</v>
      </c>
      <c r="V22" s="131"/>
      <c r="W22" s="96"/>
    </row>
    <row r="23" spans="1:23" ht="15.75" thickBot="1">
      <c r="A23" s="10"/>
      <c r="B23" s="17"/>
      <c r="C23" s="11" t="s">
        <v>24</v>
      </c>
      <c r="D23" s="77"/>
      <c r="E23" s="181"/>
      <c r="F23" s="78"/>
      <c r="G23" s="78"/>
      <c r="H23" s="78"/>
      <c r="I23" s="78"/>
      <c r="J23" s="79"/>
      <c r="K23" s="187"/>
      <c r="L23" s="187"/>
      <c r="M23" s="79"/>
      <c r="N23" s="78"/>
      <c r="O23" s="78"/>
      <c r="P23" s="125"/>
      <c r="Q23" s="166"/>
      <c r="R23" s="78"/>
      <c r="S23" s="80"/>
      <c r="T23" s="78"/>
      <c r="U23" s="78"/>
      <c r="V23" s="78"/>
      <c r="W23" s="81"/>
    </row>
    <row r="24" spans="1:23" ht="15.75" thickBot="1">
      <c r="A24" s="39">
        <v>15</v>
      </c>
      <c r="B24" s="152" t="s">
        <v>16</v>
      </c>
      <c r="C24" s="153" t="s">
        <v>4</v>
      </c>
      <c r="D24" s="180" t="s">
        <v>75</v>
      </c>
      <c r="E24" s="182">
        <f>'[1]załacznik nr 1 kalkulacj'!E24-(83.72*0.105)</f>
        <v>74.92939999999999</v>
      </c>
      <c r="F24" s="155"/>
      <c r="G24" s="78"/>
      <c r="H24" s="103"/>
      <c r="I24" s="90"/>
      <c r="J24" s="79">
        <f>K24+L24+M24</f>
        <v>0.16799999999999998</v>
      </c>
      <c r="K24" s="188">
        <f>'załacznik nr 1 kalkulacj'!K24</f>
        <v>0.149</v>
      </c>
      <c r="L24" s="189">
        <f>'załacznik nr 1 kalkulacj'!L24</f>
        <v>0.019</v>
      </c>
      <c r="M24" s="79">
        <v>0</v>
      </c>
      <c r="N24" s="103"/>
      <c r="O24" s="167"/>
      <c r="P24" s="149"/>
      <c r="Q24" s="167"/>
      <c r="R24" s="94"/>
      <c r="S24" s="196">
        <v>12</v>
      </c>
      <c r="T24" s="94"/>
      <c r="U24" s="159">
        <v>0.23</v>
      </c>
      <c r="V24" s="160"/>
      <c r="W24" s="81"/>
    </row>
    <row r="25" spans="1:23" ht="15.75" thickBot="1">
      <c r="A25" s="139"/>
      <c r="B25" s="140"/>
      <c r="C25" s="161" t="s">
        <v>59</v>
      </c>
      <c r="D25" s="141"/>
      <c r="E25" s="183"/>
      <c r="F25" s="98"/>
      <c r="G25" s="98"/>
      <c r="H25" s="98"/>
      <c r="I25" s="98"/>
      <c r="J25" s="142"/>
      <c r="K25" s="142"/>
      <c r="L25" s="142"/>
      <c r="M25" s="142"/>
      <c r="N25" s="148"/>
      <c r="O25" s="136"/>
      <c r="P25" s="164"/>
      <c r="Q25" s="136"/>
      <c r="R25" s="144"/>
      <c r="S25" s="195"/>
      <c r="T25" s="144"/>
      <c r="U25" s="145"/>
      <c r="V25" s="146"/>
      <c r="W25" s="96"/>
    </row>
    <row r="26" spans="1:23" ht="15.75" thickBot="1">
      <c r="A26" s="39">
        <v>16</v>
      </c>
      <c r="B26" s="152" t="s">
        <v>58</v>
      </c>
      <c r="C26" s="153" t="s">
        <v>4</v>
      </c>
      <c r="D26" s="180" t="s">
        <v>76</v>
      </c>
      <c r="E26" s="182">
        <f>'[1]załacznik nr 1 kalkulacj'!E26-(83.72*0.105)</f>
        <v>74.92939999999999</v>
      </c>
      <c r="F26" s="155"/>
      <c r="G26" s="78"/>
      <c r="H26" s="103"/>
      <c r="I26" s="179"/>
      <c r="J26" s="184">
        <v>0.0386</v>
      </c>
      <c r="K26" s="185">
        <v>0.028</v>
      </c>
      <c r="L26" s="186">
        <v>0.0106</v>
      </c>
      <c r="M26" s="79">
        <v>0</v>
      </c>
      <c r="N26" s="103"/>
      <c r="O26" s="167"/>
      <c r="P26" s="149"/>
      <c r="Q26" s="167"/>
      <c r="R26" s="94"/>
      <c r="S26" s="59">
        <v>12</v>
      </c>
      <c r="T26" s="94"/>
      <c r="U26" s="159">
        <v>0.23</v>
      </c>
      <c r="V26" s="160"/>
      <c r="W26" s="81"/>
    </row>
    <row r="27" spans="1:23" ht="17.25" thickBot="1" thickTop="1">
      <c r="A27" s="24"/>
      <c r="B27" s="25"/>
      <c r="C27" s="26"/>
      <c r="D27" s="26"/>
      <c r="E27" s="173">
        <f>SUM(E7:E26)</f>
        <v>1526.315926203079</v>
      </c>
      <c r="F27" s="27"/>
      <c r="G27" s="27"/>
      <c r="H27" s="27"/>
      <c r="I27" s="27"/>
      <c r="J27" s="28"/>
      <c r="K27" s="29" t="s">
        <v>30</v>
      </c>
      <c r="L27" s="28"/>
      <c r="M27" s="28"/>
      <c r="N27" s="27"/>
      <c r="O27" s="27"/>
      <c r="P27" s="27"/>
      <c r="Q27" s="27"/>
      <c r="R27" s="35"/>
      <c r="S27" s="27"/>
      <c r="T27" s="35"/>
      <c r="U27" s="105"/>
      <c r="V27" s="106"/>
      <c r="W27" s="104"/>
    </row>
    <row r="28" ht="15.75" thickTop="1">
      <c r="E28" s="5"/>
    </row>
    <row r="29" spans="5:11" ht="15">
      <c r="E29" s="5"/>
      <c r="F29" s="168"/>
      <c r="G29" s="168"/>
      <c r="H29" s="168"/>
      <c r="I29" s="168"/>
      <c r="J29" s="168"/>
      <c r="K29" s="168"/>
    </row>
    <row r="30" spans="5:11" ht="15">
      <c r="E30" s="5"/>
      <c r="F30" s="168"/>
      <c r="G30" s="168"/>
      <c r="H30" s="168"/>
      <c r="I30" s="168"/>
      <c r="J30" s="168"/>
      <c r="K30" s="168"/>
    </row>
    <row r="31" ht="15">
      <c r="E31" s="5"/>
    </row>
    <row r="32" ht="15">
      <c r="E32" s="5"/>
    </row>
    <row r="33" ht="15">
      <c r="E33" s="5"/>
    </row>
    <row r="34" ht="15">
      <c r="E34" s="5"/>
    </row>
    <row r="35" ht="15">
      <c r="E35" s="5"/>
    </row>
    <row r="36" ht="15">
      <c r="E36" s="5"/>
    </row>
    <row r="37" ht="15">
      <c r="E37" s="5"/>
    </row>
    <row r="38" ht="15">
      <c r="E38" s="5"/>
    </row>
    <row r="39" ht="15">
      <c r="E39" s="5"/>
    </row>
    <row r="40" ht="15">
      <c r="E40" s="5"/>
    </row>
    <row r="41" ht="15">
      <c r="E41" s="5"/>
    </row>
    <row r="42" ht="15">
      <c r="E42" s="5"/>
    </row>
    <row r="43" ht="15">
      <c r="E43" s="6"/>
    </row>
    <row r="44" ht="15">
      <c r="E44" s="6"/>
    </row>
    <row r="45" ht="15">
      <c r="E45" s="6"/>
    </row>
  </sheetData>
  <sheetProtection/>
  <mergeCells count="1">
    <mergeCell ref="B2:W2"/>
  </mergeCells>
  <printOptions/>
  <pageMargins left="0.25" right="0.25" top="0.75" bottom="0.75" header="0.3" footer="0.3"/>
  <pageSetup fitToHeight="0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Strzelecka</dc:creator>
  <cp:keywords/>
  <dc:description/>
  <cp:lastModifiedBy>Zbigniew Małkowski</cp:lastModifiedBy>
  <cp:lastPrinted>2019-10-03T09:23:17Z</cp:lastPrinted>
  <dcterms:created xsi:type="dcterms:W3CDTF">2017-06-02T06:26:42Z</dcterms:created>
  <dcterms:modified xsi:type="dcterms:W3CDTF">2023-01-09T09:19:26Z</dcterms:modified>
  <cp:category/>
  <cp:version/>
  <cp:contentType/>
  <cp:contentStatus/>
</cp:coreProperties>
</file>